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externalLinks/externalLink273.xml" ContentType="application/vnd.openxmlformats-officedocument.spreadsheetml.externalLink+xml"/>
  <Override PartName="/xl/externalLinks/externalLink274.xml" ContentType="application/vnd.openxmlformats-officedocument.spreadsheetml.externalLink+xml"/>
  <Override PartName="/xl/externalLinks/externalLink275.xml" ContentType="application/vnd.openxmlformats-officedocument.spreadsheetml.externalLink+xml"/>
  <Override PartName="/xl/externalLinks/externalLink276.xml" ContentType="application/vnd.openxmlformats-officedocument.spreadsheetml.externalLink+xml"/>
  <Override PartName="/xl/externalLinks/externalLink277.xml" ContentType="application/vnd.openxmlformats-officedocument.spreadsheetml.externalLink+xml"/>
  <Override PartName="/xl/externalLinks/externalLink278.xml" ContentType="application/vnd.openxmlformats-officedocument.spreadsheetml.externalLink+xml"/>
  <Override PartName="/xl/externalLinks/externalLink279.xml" ContentType="application/vnd.openxmlformats-officedocument.spreadsheetml.externalLink+xml"/>
  <Override PartName="/xl/externalLinks/externalLink280.xml" ContentType="application/vnd.openxmlformats-officedocument.spreadsheetml.externalLink+xml"/>
  <Override PartName="/xl/externalLinks/externalLink281.xml" ContentType="application/vnd.openxmlformats-officedocument.spreadsheetml.externalLink+xml"/>
  <Override PartName="/xl/externalLinks/externalLink282.xml" ContentType="application/vnd.openxmlformats-officedocument.spreadsheetml.externalLink+xml"/>
  <Override PartName="/xl/externalLinks/externalLink283.xml" ContentType="application/vnd.openxmlformats-officedocument.spreadsheetml.externalLink+xml"/>
  <Override PartName="/xl/externalLinks/externalLink284.xml" ContentType="application/vnd.openxmlformats-officedocument.spreadsheetml.externalLink+xml"/>
  <Override PartName="/xl/externalLinks/externalLink285.xml" ContentType="application/vnd.openxmlformats-officedocument.spreadsheetml.externalLink+xml"/>
  <Override PartName="/xl/externalLinks/externalLink286.xml" ContentType="application/vnd.openxmlformats-officedocument.spreadsheetml.externalLink+xml"/>
  <Override PartName="/xl/externalLinks/externalLink287.xml" ContentType="application/vnd.openxmlformats-officedocument.spreadsheetml.externalLink+xml"/>
  <Override PartName="/xl/externalLinks/externalLink288.xml" ContentType="application/vnd.openxmlformats-officedocument.spreadsheetml.externalLink+xml"/>
  <Override PartName="/xl/externalLinks/externalLink289.xml" ContentType="application/vnd.openxmlformats-officedocument.spreadsheetml.externalLink+xml"/>
  <Override PartName="/xl/externalLinks/externalLink290.xml" ContentType="application/vnd.openxmlformats-officedocument.spreadsheetml.externalLink+xml"/>
  <Override PartName="/xl/externalLinks/externalLink291.xml" ContentType="application/vnd.openxmlformats-officedocument.spreadsheetml.externalLink+xml"/>
  <Override PartName="/xl/externalLinks/externalLink292.xml" ContentType="application/vnd.openxmlformats-officedocument.spreadsheetml.externalLink+xml"/>
  <Override PartName="/xl/externalLinks/externalLink293.xml" ContentType="application/vnd.openxmlformats-officedocument.spreadsheetml.externalLink+xml"/>
  <Override PartName="/xl/externalLinks/externalLink294.xml" ContentType="application/vnd.openxmlformats-officedocument.spreadsheetml.externalLink+xml"/>
  <Override PartName="/xl/externalLinks/externalLink295.xml" ContentType="application/vnd.openxmlformats-officedocument.spreadsheetml.externalLink+xml"/>
  <Override PartName="/xl/externalLinks/externalLink296.xml" ContentType="application/vnd.openxmlformats-officedocument.spreadsheetml.externalLink+xml"/>
  <Override PartName="/xl/externalLinks/externalLink297.xml" ContentType="application/vnd.openxmlformats-officedocument.spreadsheetml.externalLink+xml"/>
  <Override PartName="/xl/externalLinks/externalLink298.xml" ContentType="application/vnd.openxmlformats-officedocument.spreadsheetml.externalLink+xml"/>
  <Override PartName="/xl/externalLinks/externalLink299.xml" ContentType="application/vnd.openxmlformats-officedocument.spreadsheetml.externalLink+xml"/>
  <Override PartName="/xl/externalLinks/externalLink300.xml" ContentType="application/vnd.openxmlformats-officedocument.spreadsheetml.externalLink+xml"/>
  <Override PartName="/xl/externalLinks/externalLink301.xml" ContentType="application/vnd.openxmlformats-officedocument.spreadsheetml.externalLink+xml"/>
  <Override PartName="/xl/externalLinks/externalLink302.xml" ContentType="application/vnd.openxmlformats-officedocument.spreadsheetml.externalLink+xml"/>
  <Override PartName="/xl/externalLinks/externalLink303.xml" ContentType="application/vnd.openxmlformats-officedocument.spreadsheetml.externalLink+xml"/>
  <Override PartName="/xl/externalLinks/externalLink304.xml" ContentType="application/vnd.openxmlformats-officedocument.spreadsheetml.externalLink+xml"/>
  <Override PartName="/xl/externalLinks/externalLink305.xml" ContentType="application/vnd.openxmlformats-officedocument.spreadsheetml.externalLink+xml"/>
  <Override PartName="/xl/externalLinks/externalLink306.xml" ContentType="application/vnd.openxmlformats-officedocument.spreadsheetml.externalLink+xml"/>
  <Override PartName="/xl/externalLinks/externalLink307.xml" ContentType="application/vnd.openxmlformats-officedocument.spreadsheetml.externalLink+xml"/>
  <Override PartName="/xl/externalLinks/externalLink308.xml" ContentType="application/vnd.openxmlformats-officedocument.spreadsheetml.externalLink+xml"/>
  <Override PartName="/xl/externalLinks/externalLink309.xml" ContentType="application/vnd.openxmlformats-officedocument.spreadsheetml.externalLink+xml"/>
  <Override PartName="/xl/externalLinks/externalLink310.xml" ContentType="application/vnd.openxmlformats-officedocument.spreadsheetml.externalLink+xml"/>
  <Override PartName="/xl/externalLinks/externalLink311.xml" ContentType="application/vnd.openxmlformats-officedocument.spreadsheetml.externalLink+xml"/>
  <Override PartName="/xl/externalLinks/externalLink312.xml" ContentType="application/vnd.openxmlformats-officedocument.spreadsheetml.externalLink+xml"/>
  <Override PartName="/xl/externalLinks/externalLink313.xml" ContentType="application/vnd.openxmlformats-officedocument.spreadsheetml.externalLink+xml"/>
  <Override PartName="/xl/externalLinks/externalLink314.xml" ContentType="application/vnd.openxmlformats-officedocument.spreadsheetml.externalLink+xml"/>
  <Override PartName="/xl/externalLinks/externalLink315.xml" ContentType="application/vnd.openxmlformats-officedocument.spreadsheetml.externalLink+xml"/>
  <Override PartName="/xl/externalLinks/externalLink316.xml" ContentType="application/vnd.openxmlformats-officedocument.spreadsheetml.externalLink+xml"/>
  <Override PartName="/xl/externalLinks/externalLink317.xml" ContentType="application/vnd.openxmlformats-officedocument.spreadsheetml.externalLink+xml"/>
  <Override PartName="/xl/externalLinks/externalLink318.xml" ContentType="application/vnd.openxmlformats-officedocument.spreadsheetml.externalLink+xml"/>
  <Override PartName="/xl/externalLinks/externalLink319.xml" ContentType="application/vnd.openxmlformats-officedocument.spreadsheetml.externalLink+xml"/>
  <Override PartName="/xl/externalLinks/externalLink320.xml" ContentType="application/vnd.openxmlformats-officedocument.spreadsheetml.externalLink+xml"/>
  <Override PartName="/xl/externalLinks/externalLink321.xml" ContentType="application/vnd.openxmlformats-officedocument.spreadsheetml.externalLink+xml"/>
  <Override PartName="/xl/externalLinks/externalLink322.xml" ContentType="application/vnd.openxmlformats-officedocument.spreadsheetml.externalLink+xml"/>
  <Override PartName="/xl/externalLinks/externalLink323.xml" ContentType="application/vnd.openxmlformats-officedocument.spreadsheetml.externalLink+xml"/>
  <Override PartName="/xl/externalLinks/externalLink324.xml" ContentType="application/vnd.openxmlformats-officedocument.spreadsheetml.externalLink+xml"/>
  <Override PartName="/xl/externalLinks/externalLink325.xml" ContentType="application/vnd.openxmlformats-officedocument.spreadsheetml.externalLink+xml"/>
  <Override PartName="/xl/externalLinks/externalLink326.xml" ContentType="application/vnd.openxmlformats-officedocument.spreadsheetml.externalLink+xml"/>
  <Override PartName="/xl/externalLinks/externalLink327.xml" ContentType="application/vnd.openxmlformats-officedocument.spreadsheetml.externalLink+xml"/>
  <Override PartName="/xl/externalLinks/externalLink328.xml" ContentType="application/vnd.openxmlformats-officedocument.spreadsheetml.externalLink+xml"/>
  <Override PartName="/xl/externalLinks/externalLink329.xml" ContentType="application/vnd.openxmlformats-officedocument.spreadsheetml.externalLink+xml"/>
  <Override PartName="/xl/externalLinks/externalLink330.xml" ContentType="application/vnd.openxmlformats-officedocument.spreadsheetml.externalLink+xml"/>
  <Override PartName="/xl/externalLinks/externalLink331.xml" ContentType="application/vnd.openxmlformats-officedocument.spreadsheetml.externalLink+xml"/>
  <Override PartName="/xl/externalLinks/externalLink332.xml" ContentType="application/vnd.openxmlformats-officedocument.spreadsheetml.externalLink+xml"/>
  <Override PartName="/xl/externalLinks/externalLink333.xml" ContentType="application/vnd.openxmlformats-officedocument.spreadsheetml.externalLink+xml"/>
  <Override PartName="/xl/externalLinks/externalLink334.xml" ContentType="application/vnd.openxmlformats-officedocument.spreadsheetml.externalLink+xml"/>
  <Override PartName="/xl/externalLinks/externalLink335.xml" ContentType="application/vnd.openxmlformats-officedocument.spreadsheetml.externalLink+xml"/>
  <Override PartName="/xl/externalLinks/externalLink336.xml" ContentType="application/vnd.openxmlformats-officedocument.spreadsheetml.externalLink+xml"/>
  <Override PartName="/xl/externalLinks/externalLink337.xml" ContentType="application/vnd.openxmlformats-officedocument.spreadsheetml.externalLink+xml"/>
  <Override PartName="/xl/externalLinks/externalLink3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05" yWindow="60" windowWidth="15600" windowHeight="9135"/>
  </bookViews>
  <sheets>
    <sheet name="GDACSp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  <externalReference r:id="rId275"/>
    <externalReference r:id="rId276"/>
    <externalReference r:id="rId277"/>
    <externalReference r:id="rId278"/>
    <externalReference r:id="rId279"/>
    <externalReference r:id="rId280"/>
    <externalReference r:id="rId281"/>
    <externalReference r:id="rId282"/>
    <externalReference r:id="rId283"/>
    <externalReference r:id="rId284"/>
    <externalReference r:id="rId285"/>
    <externalReference r:id="rId286"/>
    <externalReference r:id="rId287"/>
    <externalReference r:id="rId288"/>
    <externalReference r:id="rId289"/>
    <externalReference r:id="rId290"/>
    <externalReference r:id="rId291"/>
    <externalReference r:id="rId292"/>
    <externalReference r:id="rId293"/>
    <externalReference r:id="rId294"/>
    <externalReference r:id="rId295"/>
    <externalReference r:id="rId296"/>
    <externalReference r:id="rId297"/>
    <externalReference r:id="rId298"/>
    <externalReference r:id="rId299"/>
    <externalReference r:id="rId300"/>
    <externalReference r:id="rId301"/>
    <externalReference r:id="rId302"/>
    <externalReference r:id="rId303"/>
    <externalReference r:id="rId304"/>
    <externalReference r:id="rId305"/>
    <externalReference r:id="rId306"/>
    <externalReference r:id="rId307"/>
    <externalReference r:id="rId308"/>
    <externalReference r:id="rId309"/>
    <externalReference r:id="rId310"/>
    <externalReference r:id="rId311"/>
    <externalReference r:id="rId312"/>
    <externalReference r:id="rId313"/>
    <externalReference r:id="rId314"/>
    <externalReference r:id="rId315"/>
    <externalReference r:id="rId316"/>
    <externalReference r:id="rId317"/>
    <externalReference r:id="rId318"/>
    <externalReference r:id="rId319"/>
    <externalReference r:id="rId320"/>
    <externalReference r:id="rId321"/>
    <externalReference r:id="rId322"/>
    <externalReference r:id="rId323"/>
    <externalReference r:id="rId324"/>
    <externalReference r:id="rId325"/>
    <externalReference r:id="rId326"/>
    <externalReference r:id="rId327"/>
    <externalReference r:id="rId328"/>
    <externalReference r:id="rId329"/>
    <externalReference r:id="rId330"/>
    <externalReference r:id="rId331"/>
    <externalReference r:id="rId332"/>
    <externalReference r:id="rId333"/>
    <externalReference r:id="rId334"/>
    <externalReference r:id="rId335"/>
    <externalReference r:id="rId336"/>
    <externalReference r:id="rId337"/>
    <externalReference r:id="rId338"/>
    <externalReference r:id="rId339"/>
  </externalReferences>
  <definedNames>
    <definedName name="_xlnm.Database">GDACSpts!$B$11:$H$293</definedName>
  </definedNames>
  <calcPr calcId="145621"/>
</workbook>
</file>

<file path=xl/calcChain.xml><?xml version="1.0" encoding="utf-8"?>
<calcChain xmlns="http://schemas.openxmlformats.org/spreadsheetml/2006/main">
  <c r="E56" i="1" l="1"/>
  <c r="D56" i="1"/>
  <c r="C56" i="1"/>
  <c r="D53" i="1"/>
  <c r="C53" i="1"/>
  <c r="H119" i="1" l="1"/>
  <c r="I119" i="1" s="1"/>
  <c r="L23" i="1" l="1"/>
  <c r="H23" i="1"/>
  <c r="G23" i="1"/>
  <c r="F23" i="1"/>
  <c r="E23" i="1"/>
  <c r="D23" i="1"/>
  <c r="C23" i="1"/>
  <c r="K300" i="1" l="1"/>
  <c r="J300" i="1"/>
  <c r="H300" i="1"/>
  <c r="H302" i="1" l="1"/>
  <c r="J298" i="1" l="1"/>
  <c r="H298" i="1"/>
  <c r="E298" i="1"/>
  <c r="H179" i="1" l="1"/>
  <c r="H344" i="1" l="1"/>
  <c r="H299" i="1"/>
  <c r="L254" i="1" l="1"/>
  <c r="H254" i="1"/>
  <c r="I254" i="1" s="1"/>
  <c r="G254" i="1"/>
  <c r="F254" i="1"/>
  <c r="E254" i="1"/>
  <c r="D254" i="1"/>
  <c r="C254" i="1"/>
  <c r="L346" i="1" l="1"/>
  <c r="K346" i="1"/>
  <c r="J346" i="1"/>
  <c r="H346" i="1"/>
  <c r="I346" i="1" s="1"/>
  <c r="G346" i="1"/>
  <c r="F346" i="1"/>
  <c r="E346" i="1"/>
  <c r="D346" i="1"/>
  <c r="C346" i="1"/>
  <c r="H51" i="1" l="1"/>
  <c r="I51" i="1" s="1"/>
  <c r="L51" i="1"/>
  <c r="K51" i="1"/>
  <c r="J51" i="1"/>
  <c r="G51" i="1"/>
  <c r="F51" i="1"/>
  <c r="E51" i="1"/>
  <c r="D51" i="1"/>
  <c r="C51" i="1"/>
  <c r="H330" i="1" l="1"/>
  <c r="H310" i="1" l="1"/>
  <c r="I310" i="1" s="1"/>
  <c r="L310" i="1"/>
  <c r="G310" i="1"/>
  <c r="F310" i="1"/>
  <c r="E310" i="1"/>
  <c r="D310" i="1"/>
  <c r="C310" i="1"/>
  <c r="L302" i="1" l="1"/>
  <c r="I302" i="1"/>
  <c r="G302" i="1"/>
  <c r="F302" i="1"/>
  <c r="E302" i="1"/>
  <c r="D302" i="1"/>
  <c r="C302" i="1"/>
  <c r="N302" i="1" l="1"/>
  <c r="R302" i="1"/>
  <c r="V302" i="1"/>
  <c r="O302" i="1"/>
  <c r="S302" i="1"/>
  <c r="W302" i="1"/>
  <c r="P302" i="1"/>
  <c r="T302" i="1"/>
  <c r="Q302" i="1"/>
  <c r="U302" i="1"/>
  <c r="L300" i="1"/>
  <c r="I300" i="1"/>
  <c r="G300" i="1"/>
  <c r="F300" i="1"/>
  <c r="E300" i="1"/>
  <c r="D300" i="1"/>
  <c r="C300" i="1"/>
  <c r="I23" i="1" l="1"/>
  <c r="L179" i="1" l="1"/>
  <c r="I179" i="1"/>
  <c r="G179" i="1"/>
  <c r="F179" i="1"/>
  <c r="E179" i="1"/>
  <c r="D179" i="1"/>
  <c r="C179" i="1"/>
  <c r="L299" i="1" l="1"/>
  <c r="I299" i="1"/>
  <c r="G299" i="1"/>
  <c r="F299" i="1"/>
  <c r="E299" i="1"/>
  <c r="D299" i="1"/>
  <c r="C299" i="1"/>
  <c r="L298" i="1" l="1"/>
  <c r="G298" i="1"/>
  <c r="F298" i="1"/>
  <c r="D298" i="1"/>
  <c r="C298" i="1"/>
  <c r="I298" i="1"/>
  <c r="L344" i="1" l="1"/>
  <c r="K344" i="1"/>
  <c r="J344" i="1"/>
  <c r="I344" i="1"/>
  <c r="G344" i="1"/>
  <c r="F344" i="1"/>
  <c r="E344" i="1"/>
  <c r="D344" i="1"/>
  <c r="C344" i="1"/>
  <c r="L343" i="1"/>
  <c r="K343" i="1"/>
  <c r="J343" i="1"/>
  <c r="H343" i="1"/>
  <c r="I343" i="1" s="1"/>
  <c r="G343" i="1"/>
  <c r="F343" i="1"/>
  <c r="E343" i="1"/>
  <c r="D343" i="1"/>
  <c r="C343" i="1"/>
  <c r="L342" i="1"/>
  <c r="K342" i="1"/>
  <c r="J342" i="1"/>
  <c r="H342" i="1"/>
  <c r="G342" i="1"/>
  <c r="F342" i="1"/>
  <c r="E342" i="1"/>
  <c r="D342" i="1"/>
  <c r="C342" i="1"/>
  <c r="L341" i="1"/>
  <c r="K341" i="1"/>
  <c r="J341" i="1"/>
  <c r="H341" i="1"/>
  <c r="I341" i="1" s="1"/>
  <c r="G341" i="1"/>
  <c r="F341" i="1"/>
  <c r="E341" i="1"/>
  <c r="D341" i="1"/>
  <c r="C341" i="1"/>
  <c r="L340" i="1"/>
  <c r="K340" i="1"/>
  <c r="J340" i="1"/>
  <c r="H340" i="1"/>
  <c r="I340" i="1" s="1"/>
  <c r="G340" i="1"/>
  <c r="F340" i="1"/>
  <c r="E340" i="1"/>
  <c r="D340" i="1"/>
  <c r="C340" i="1"/>
  <c r="L339" i="1"/>
  <c r="K339" i="1"/>
  <c r="J339" i="1"/>
  <c r="H339" i="1"/>
  <c r="I339" i="1" s="1"/>
  <c r="G339" i="1"/>
  <c r="F339" i="1"/>
  <c r="E339" i="1"/>
  <c r="D339" i="1"/>
  <c r="C339" i="1"/>
  <c r="L338" i="1"/>
  <c r="K338" i="1"/>
  <c r="J338" i="1"/>
  <c r="H338" i="1"/>
  <c r="I338" i="1" s="1"/>
  <c r="G338" i="1"/>
  <c r="F338" i="1"/>
  <c r="E338" i="1"/>
  <c r="D338" i="1"/>
  <c r="C338" i="1"/>
  <c r="L337" i="1"/>
  <c r="K337" i="1"/>
  <c r="J337" i="1"/>
  <c r="H337" i="1"/>
  <c r="I337" i="1" s="1"/>
  <c r="G337" i="1"/>
  <c r="F337" i="1"/>
  <c r="E337" i="1"/>
  <c r="D337" i="1"/>
  <c r="C337" i="1"/>
  <c r="L336" i="1"/>
  <c r="K336" i="1"/>
  <c r="J336" i="1"/>
  <c r="H336" i="1"/>
  <c r="I336" i="1" s="1"/>
  <c r="G336" i="1"/>
  <c r="F336" i="1"/>
  <c r="E336" i="1"/>
  <c r="D336" i="1"/>
  <c r="C336" i="1"/>
  <c r="I342" i="1"/>
  <c r="L345" i="1" l="1"/>
  <c r="K345" i="1"/>
  <c r="J345" i="1"/>
  <c r="H345" i="1"/>
  <c r="I345" i="1" s="1"/>
  <c r="G345" i="1"/>
  <c r="F345" i="1"/>
  <c r="E345" i="1"/>
  <c r="D345" i="1"/>
  <c r="C345" i="1"/>
  <c r="L234" i="1" l="1"/>
  <c r="K234" i="1"/>
  <c r="J234" i="1"/>
  <c r="H234" i="1"/>
  <c r="I234" i="1" s="1"/>
  <c r="G234" i="1"/>
  <c r="F234" i="1"/>
  <c r="E234" i="1"/>
  <c r="D234" i="1"/>
  <c r="C234" i="1"/>
  <c r="L233" i="1"/>
  <c r="K233" i="1"/>
  <c r="J233" i="1"/>
  <c r="H233" i="1"/>
  <c r="I233" i="1" s="1"/>
  <c r="G233" i="1"/>
  <c r="F233" i="1"/>
  <c r="E233" i="1"/>
  <c r="D233" i="1"/>
  <c r="C233" i="1"/>
  <c r="J24" i="1" l="1"/>
  <c r="J27" i="1" l="1"/>
  <c r="J30" i="1" l="1"/>
  <c r="G11" i="1" l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09" i="1"/>
  <c r="G308" i="1"/>
  <c r="G307" i="1"/>
  <c r="G306" i="1"/>
  <c r="G305" i="1"/>
  <c r="G304" i="1"/>
  <c r="G301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1" i="1"/>
  <c r="G260" i="1"/>
  <c r="G259" i="1"/>
  <c r="G258" i="1"/>
  <c r="G257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2" i="1"/>
  <c r="G231" i="1"/>
  <c r="G230" i="1"/>
  <c r="G229" i="1"/>
  <c r="G228" i="1"/>
  <c r="G227" i="1"/>
  <c r="G226" i="1"/>
  <c r="G225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4" i="1"/>
  <c r="G83" i="1"/>
  <c r="G82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  <c r="G12" i="1"/>
  <c r="L52" i="1" l="1"/>
  <c r="K52" i="1"/>
  <c r="J52" i="1"/>
  <c r="H52" i="1"/>
  <c r="I52" i="1" s="1"/>
  <c r="F52" i="1"/>
  <c r="E52" i="1"/>
  <c r="D52" i="1"/>
  <c r="C52" i="1"/>
  <c r="L274" i="1" l="1"/>
  <c r="K274" i="1"/>
  <c r="J274" i="1"/>
  <c r="H274" i="1"/>
  <c r="I274" i="1" s="1"/>
  <c r="F274" i="1"/>
  <c r="E274" i="1"/>
  <c r="D274" i="1"/>
  <c r="C274" i="1"/>
  <c r="G303" i="1" l="1"/>
  <c r="L303" i="1" l="1"/>
  <c r="K303" i="1"/>
  <c r="J303" i="1"/>
  <c r="H303" i="1"/>
  <c r="I303" i="1" s="1"/>
  <c r="F303" i="1"/>
  <c r="E303" i="1"/>
  <c r="D303" i="1"/>
  <c r="C303" i="1"/>
  <c r="L102" i="1" l="1"/>
  <c r="K102" i="1"/>
  <c r="J102" i="1"/>
  <c r="H102" i="1"/>
  <c r="I102" i="1" s="1"/>
  <c r="F102" i="1"/>
  <c r="E102" i="1"/>
  <c r="D102" i="1"/>
  <c r="C102" i="1"/>
  <c r="L280" i="1" l="1"/>
  <c r="K280" i="1"/>
  <c r="J280" i="1"/>
  <c r="H280" i="1"/>
  <c r="I280" i="1" s="1"/>
  <c r="F280" i="1"/>
  <c r="E280" i="1"/>
  <c r="D280" i="1"/>
  <c r="C280" i="1"/>
  <c r="L277" i="1"/>
  <c r="K277" i="1"/>
  <c r="J277" i="1"/>
  <c r="H277" i="1"/>
  <c r="I277" i="1" s="1"/>
  <c r="F277" i="1"/>
  <c r="E277" i="1"/>
  <c r="D277" i="1"/>
  <c r="C277" i="1"/>
  <c r="L257" i="1" l="1"/>
  <c r="K257" i="1"/>
  <c r="J257" i="1"/>
  <c r="H257" i="1"/>
  <c r="I257" i="1" s="1"/>
  <c r="F257" i="1"/>
  <c r="E257" i="1"/>
  <c r="D257" i="1"/>
  <c r="C257" i="1"/>
  <c r="L270" i="1" l="1"/>
  <c r="K270" i="1"/>
  <c r="J270" i="1"/>
  <c r="H270" i="1"/>
  <c r="I270" i="1" s="1"/>
  <c r="F270" i="1"/>
  <c r="E270" i="1"/>
  <c r="D270" i="1"/>
  <c r="C270" i="1"/>
  <c r="L99" i="1" l="1"/>
  <c r="K99" i="1"/>
  <c r="J99" i="1"/>
  <c r="H99" i="1"/>
  <c r="I99" i="1" s="1"/>
  <c r="F99" i="1"/>
  <c r="E99" i="1"/>
  <c r="D99" i="1"/>
  <c r="C99" i="1"/>
  <c r="L244" i="1" l="1"/>
  <c r="K244" i="1"/>
  <c r="J244" i="1"/>
  <c r="H244" i="1"/>
  <c r="I244" i="1" s="1"/>
  <c r="F244" i="1"/>
  <c r="E244" i="1"/>
  <c r="D244" i="1"/>
  <c r="C244" i="1"/>
  <c r="L132" i="1" l="1"/>
  <c r="K132" i="1"/>
  <c r="J132" i="1"/>
  <c r="H132" i="1"/>
  <c r="I132" i="1" s="1"/>
  <c r="F132" i="1"/>
  <c r="E132" i="1"/>
  <c r="D132" i="1"/>
  <c r="C132" i="1"/>
  <c r="L335" i="1" l="1"/>
  <c r="K335" i="1"/>
  <c r="J335" i="1"/>
  <c r="H335" i="1"/>
  <c r="I335" i="1" s="1"/>
  <c r="F335" i="1"/>
  <c r="E335" i="1"/>
  <c r="D335" i="1"/>
  <c r="C335" i="1"/>
  <c r="L334" i="1"/>
  <c r="K334" i="1"/>
  <c r="J334" i="1"/>
  <c r="H334" i="1"/>
  <c r="I334" i="1" s="1"/>
  <c r="F334" i="1"/>
  <c r="E334" i="1"/>
  <c r="D334" i="1"/>
  <c r="C334" i="1"/>
  <c r="L333" i="1"/>
  <c r="K333" i="1"/>
  <c r="J333" i="1"/>
  <c r="H333" i="1"/>
  <c r="I333" i="1" s="1"/>
  <c r="F333" i="1"/>
  <c r="E333" i="1"/>
  <c r="D333" i="1"/>
  <c r="C333" i="1"/>
  <c r="L332" i="1"/>
  <c r="K332" i="1"/>
  <c r="J332" i="1"/>
  <c r="H332" i="1"/>
  <c r="I332" i="1" s="1"/>
  <c r="F332" i="1"/>
  <c r="E332" i="1"/>
  <c r="D332" i="1"/>
  <c r="C332" i="1"/>
  <c r="L331" i="1"/>
  <c r="K331" i="1"/>
  <c r="J331" i="1"/>
  <c r="H331" i="1"/>
  <c r="I331" i="1" s="1"/>
  <c r="F331" i="1"/>
  <c r="E331" i="1"/>
  <c r="D331" i="1"/>
  <c r="C331" i="1"/>
  <c r="L133" i="1" l="1"/>
  <c r="K133" i="1"/>
  <c r="J133" i="1"/>
  <c r="H133" i="1"/>
  <c r="I133" i="1" s="1"/>
  <c r="F133" i="1"/>
  <c r="E133" i="1"/>
  <c r="D133" i="1"/>
  <c r="C133" i="1"/>
  <c r="L301" i="1" l="1"/>
  <c r="K301" i="1"/>
  <c r="J301" i="1"/>
  <c r="H301" i="1"/>
  <c r="I301" i="1" s="1"/>
  <c r="F301" i="1"/>
  <c r="E301" i="1"/>
  <c r="D301" i="1"/>
  <c r="C301" i="1"/>
  <c r="C292" i="1" l="1"/>
  <c r="L292" i="1" l="1"/>
  <c r="K292" i="1"/>
  <c r="J292" i="1"/>
  <c r="H292" i="1"/>
  <c r="I292" i="1" s="1"/>
  <c r="F292" i="1"/>
  <c r="E292" i="1"/>
  <c r="D292" i="1"/>
  <c r="L278" i="1" l="1"/>
  <c r="K278" i="1"/>
  <c r="J278" i="1"/>
  <c r="H278" i="1"/>
  <c r="I278" i="1" s="1"/>
  <c r="F278" i="1"/>
  <c r="E278" i="1"/>
  <c r="D278" i="1"/>
  <c r="C278" i="1"/>
  <c r="L273" i="1"/>
  <c r="K273" i="1"/>
  <c r="J273" i="1"/>
  <c r="H273" i="1"/>
  <c r="I273" i="1" s="1"/>
  <c r="F273" i="1"/>
  <c r="E273" i="1"/>
  <c r="D273" i="1"/>
  <c r="C273" i="1"/>
  <c r="L269" i="1"/>
  <c r="K269" i="1"/>
  <c r="J269" i="1"/>
  <c r="H269" i="1"/>
  <c r="I269" i="1" s="1"/>
  <c r="F269" i="1"/>
  <c r="E269" i="1"/>
  <c r="D269" i="1"/>
  <c r="C269" i="1"/>
  <c r="L221" i="1"/>
  <c r="K221" i="1"/>
  <c r="J221" i="1"/>
  <c r="H221" i="1"/>
  <c r="I221" i="1" s="1"/>
  <c r="F221" i="1"/>
  <c r="E221" i="1"/>
  <c r="D221" i="1"/>
  <c r="C221" i="1"/>
  <c r="L124" i="1"/>
  <c r="K124" i="1"/>
  <c r="J124" i="1"/>
  <c r="H124" i="1"/>
  <c r="I124" i="1" s="1"/>
  <c r="F124" i="1"/>
  <c r="E124" i="1"/>
  <c r="D124" i="1"/>
  <c r="C124" i="1"/>
  <c r="L100" i="1"/>
  <c r="K100" i="1"/>
  <c r="J100" i="1"/>
  <c r="H100" i="1"/>
  <c r="I100" i="1" s="1"/>
  <c r="F100" i="1"/>
  <c r="E100" i="1"/>
  <c r="D100" i="1"/>
  <c r="C100" i="1"/>
  <c r="L328" i="1" l="1"/>
  <c r="K328" i="1"/>
  <c r="J328" i="1"/>
  <c r="H328" i="1"/>
  <c r="I328" i="1" s="1"/>
  <c r="F328" i="1"/>
  <c r="E328" i="1"/>
  <c r="D328" i="1"/>
  <c r="C328" i="1"/>
  <c r="L330" i="1"/>
  <c r="K330" i="1"/>
  <c r="J330" i="1"/>
  <c r="I330" i="1"/>
  <c r="F330" i="1"/>
  <c r="E330" i="1"/>
  <c r="D330" i="1"/>
  <c r="C330" i="1"/>
  <c r="L329" i="1"/>
  <c r="K329" i="1"/>
  <c r="J329" i="1"/>
  <c r="H329" i="1"/>
  <c r="I329" i="1" s="1"/>
  <c r="F329" i="1"/>
  <c r="E329" i="1"/>
  <c r="D329" i="1"/>
  <c r="C329" i="1"/>
  <c r="L264" i="1" l="1"/>
  <c r="K264" i="1"/>
  <c r="J264" i="1"/>
  <c r="H264" i="1"/>
  <c r="I264" i="1" s="1"/>
  <c r="F264" i="1"/>
  <c r="E264" i="1"/>
  <c r="D264" i="1"/>
  <c r="C264" i="1"/>
  <c r="L263" i="1"/>
  <c r="K263" i="1"/>
  <c r="J263" i="1"/>
  <c r="H263" i="1"/>
  <c r="I263" i="1" s="1"/>
  <c r="F263" i="1"/>
  <c r="E263" i="1"/>
  <c r="D263" i="1"/>
  <c r="C263" i="1"/>
  <c r="L262" i="1"/>
  <c r="K262" i="1"/>
  <c r="J262" i="1"/>
  <c r="H262" i="1"/>
  <c r="I262" i="1" s="1"/>
  <c r="F262" i="1"/>
  <c r="E262" i="1"/>
  <c r="D262" i="1"/>
  <c r="C262" i="1"/>
  <c r="L281" i="1" l="1"/>
  <c r="K281" i="1"/>
  <c r="J281" i="1"/>
  <c r="H281" i="1"/>
  <c r="I281" i="1" s="1"/>
  <c r="F281" i="1"/>
  <c r="E281" i="1"/>
  <c r="D281" i="1"/>
  <c r="C281" i="1"/>
  <c r="L285" i="1"/>
  <c r="K285" i="1"/>
  <c r="J285" i="1"/>
  <c r="H285" i="1"/>
  <c r="I285" i="1" s="1"/>
  <c r="F285" i="1"/>
  <c r="E285" i="1"/>
  <c r="D285" i="1"/>
  <c r="C285" i="1"/>
  <c r="G85" i="1" l="1"/>
  <c r="L85" i="1"/>
  <c r="K85" i="1"/>
  <c r="J85" i="1"/>
  <c r="H85" i="1"/>
  <c r="I85" i="1" s="1"/>
  <c r="F85" i="1"/>
  <c r="E85" i="1"/>
  <c r="D85" i="1"/>
  <c r="C85" i="1"/>
  <c r="G207" i="1" l="1"/>
  <c r="L207" i="1" l="1"/>
  <c r="K207" i="1"/>
  <c r="J207" i="1"/>
  <c r="H207" i="1"/>
  <c r="I207" i="1" s="1"/>
  <c r="F207" i="1"/>
  <c r="E207" i="1"/>
  <c r="D207" i="1"/>
  <c r="C207" i="1"/>
  <c r="L225" i="1" l="1"/>
  <c r="K225" i="1"/>
  <c r="J225" i="1"/>
  <c r="H225" i="1"/>
  <c r="I225" i="1" s="1"/>
  <c r="F225" i="1"/>
  <c r="E225" i="1"/>
  <c r="D225" i="1"/>
  <c r="C225" i="1"/>
  <c r="L125" i="1" l="1"/>
  <c r="K125" i="1"/>
  <c r="J125" i="1"/>
  <c r="H125" i="1"/>
  <c r="I125" i="1" s="1"/>
  <c r="F125" i="1"/>
  <c r="E125" i="1"/>
  <c r="D125" i="1"/>
  <c r="C125" i="1"/>
  <c r="L130" i="1" l="1"/>
  <c r="K130" i="1"/>
  <c r="J130" i="1"/>
  <c r="H130" i="1"/>
  <c r="I130" i="1" s="1"/>
  <c r="F130" i="1"/>
  <c r="E130" i="1"/>
  <c r="D130" i="1"/>
  <c r="C130" i="1"/>
  <c r="L129" i="1"/>
  <c r="K129" i="1"/>
  <c r="J129" i="1"/>
  <c r="H129" i="1"/>
  <c r="I129" i="1" s="1"/>
  <c r="F129" i="1"/>
  <c r="E129" i="1"/>
  <c r="D129" i="1"/>
  <c r="C129" i="1"/>
  <c r="L275" i="1" l="1"/>
  <c r="K275" i="1"/>
  <c r="J275" i="1"/>
  <c r="H275" i="1"/>
  <c r="I275" i="1" s="1"/>
  <c r="F275" i="1"/>
  <c r="E275" i="1"/>
  <c r="D275" i="1"/>
  <c r="C275" i="1"/>
  <c r="L268" i="1" l="1"/>
  <c r="K268" i="1"/>
  <c r="J268" i="1"/>
  <c r="H268" i="1"/>
  <c r="I268" i="1" s="1"/>
  <c r="F268" i="1"/>
  <c r="E268" i="1"/>
  <c r="D268" i="1"/>
  <c r="C268" i="1"/>
  <c r="L123" i="1" l="1"/>
  <c r="K123" i="1"/>
  <c r="J123" i="1"/>
  <c r="H123" i="1"/>
  <c r="I123" i="1" s="1"/>
  <c r="F123" i="1"/>
  <c r="E123" i="1"/>
  <c r="D123" i="1"/>
  <c r="C123" i="1"/>
  <c r="L127" i="1"/>
  <c r="K127" i="1"/>
  <c r="J127" i="1"/>
  <c r="H127" i="1"/>
  <c r="I127" i="1" s="1"/>
  <c r="F127" i="1"/>
  <c r="E127" i="1"/>
  <c r="D127" i="1"/>
  <c r="C127" i="1"/>
  <c r="C126" i="1"/>
  <c r="L126" i="1"/>
  <c r="K126" i="1"/>
  <c r="J126" i="1"/>
  <c r="H126" i="1"/>
  <c r="F126" i="1"/>
  <c r="E126" i="1"/>
  <c r="D126" i="1"/>
  <c r="G81" i="1" l="1"/>
  <c r="G80" i="1"/>
  <c r="G79" i="1"/>
  <c r="G78" i="1"/>
  <c r="G77" i="1"/>
  <c r="G76" i="1"/>
  <c r="G75" i="1"/>
  <c r="G74" i="1"/>
  <c r="G73" i="1"/>
  <c r="G72" i="1"/>
  <c r="G71" i="1"/>
  <c r="L79" i="1" l="1"/>
  <c r="K79" i="1"/>
  <c r="J79" i="1"/>
  <c r="H79" i="1"/>
  <c r="I79" i="1" s="1"/>
  <c r="F79" i="1"/>
  <c r="E79" i="1"/>
  <c r="D79" i="1"/>
  <c r="C79" i="1"/>
  <c r="L78" i="1"/>
  <c r="K78" i="1"/>
  <c r="J78" i="1"/>
  <c r="H78" i="1"/>
  <c r="I78" i="1" s="1"/>
  <c r="F78" i="1"/>
  <c r="E78" i="1"/>
  <c r="D78" i="1"/>
  <c r="C78" i="1"/>
  <c r="L256" i="1" l="1"/>
  <c r="K256" i="1"/>
  <c r="J256" i="1"/>
  <c r="H256" i="1"/>
  <c r="I256" i="1" s="1"/>
  <c r="F256" i="1"/>
  <c r="E256" i="1"/>
  <c r="D256" i="1"/>
  <c r="C256" i="1"/>
  <c r="L134" i="1" l="1"/>
  <c r="K134" i="1"/>
  <c r="J134" i="1"/>
  <c r="H134" i="1"/>
  <c r="I134" i="1" s="1"/>
  <c r="F134" i="1"/>
  <c r="E134" i="1"/>
  <c r="D134" i="1"/>
  <c r="C134" i="1"/>
  <c r="L255" i="1" l="1"/>
  <c r="K255" i="1"/>
  <c r="J255" i="1"/>
  <c r="H255" i="1"/>
  <c r="I255" i="1" s="1"/>
  <c r="F255" i="1"/>
  <c r="E255" i="1"/>
  <c r="D255" i="1"/>
  <c r="C255" i="1"/>
  <c r="L75" i="1"/>
  <c r="K75" i="1"/>
  <c r="J75" i="1"/>
  <c r="H75" i="1"/>
  <c r="I75" i="1" s="1"/>
  <c r="F75" i="1"/>
  <c r="E75" i="1"/>
  <c r="D75" i="1"/>
  <c r="C75" i="1"/>
  <c r="L74" i="1"/>
  <c r="K74" i="1"/>
  <c r="J74" i="1"/>
  <c r="H74" i="1"/>
  <c r="I74" i="1" s="1"/>
  <c r="F74" i="1"/>
  <c r="E74" i="1"/>
  <c r="D74" i="1"/>
  <c r="C74" i="1"/>
  <c r="L76" i="1" l="1"/>
  <c r="K76" i="1"/>
  <c r="J76" i="1"/>
  <c r="H76" i="1"/>
  <c r="I76" i="1" s="1"/>
  <c r="F76" i="1"/>
  <c r="E76" i="1"/>
  <c r="D76" i="1"/>
  <c r="C76" i="1"/>
  <c r="L77" i="1" l="1"/>
  <c r="K77" i="1"/>
  <c r="J77" i="1"/>
  <c r="H77" i="1"/>
  <c r="I77" i="1" s="1"/>
  <c r="F77" i="1"/>
  <c r="E77" i="1"/>
  <c r="D77" i="1"/>
  <c r="C77" i="1"/>
  <c r="D122" i="1" l="1"/>
  <c r="C122" i="1"/>
  <c r="L122" i="1" l="1"/>
  <c r="K122" i="1"/>
  <c r="J122" i="1"/>
  <c r="H122" i="1"/>
  <c r="I122" i="1" s="1"/>
  <c r="F122" i="1"/>
  <c r="L128" i="1" l="1"/>
  <c r="L327" i="1" l="1"/>
  <c r="K327" i="1"/>
  <c r="J327" i="1"/>
  <c r="H327" i="1"/>
  <c r="I327" i="1" s="1"/>
  <c r="F327" i="1"/>
  <c r="E327" i="1"/>
  <c r="D327" i="1"/>
  <c r="C327" i="1"/>
  <c r="L136" i="1" l="1"/>
  <c r="K136" i="1"/>
  <c r="J136" i="1"/>
  <c r="H136" i="1"/>
  <c r="I136" i="1" s="1"/>
  <c r="F136" i="1"/>
  <c r="E136" i="1"/>
  <c r="D136" i="1"/>
  <c r="C136" i="1"/>
  <c r="L135" i="1"/>
  <c r="K135" i="1"/>
  <c r="J135" i="1"/>
  <c r="H135" i="1"/>
  <c r="I135" i="1" s="1"/>
  <c r="F135" i="1"/>
  <c r="E135" i="1"/>
  <c r="D135" i="1"/>
  <c r="C135" i="1"/>
  <c r="L177" i="1" l="1"/>
  <c r="K177" i="1"/>
  <c r="J177" i="1"/>
  <c r="H177" i="1"/>
  <c r="I177" i="1" s="1"/>
  <c r="F177" i="1"/>
  <c r="E177" i="1"/>
  <c r="D177" i="1"/>
  <c r="C177" i="1"/>
  <c r="P177" i="1" l="1"/>
  <c r="T177" i="1"/>
  <c r="Q177" i="1"/>
  <c r="U177" i="1"/>
  <c r="N177" i="1"/>
  <c r="R177" i="1"/>
  <c r="V177" i="1"/>
  <c r="O177" i="1"/>
  <c r="S177" i="1"/>
  <c r="W177" i="1"/>
  <c r="L118" i="1"/>
  <c r="K118" i="1"/>
  <c r="J118" i="1"/>
  <c r="H118" i="1"/>
  <c r="I118" i="1" s="1"/>
  <c r="F118" i="1"/>
  <c r="E118" i="1"/>
  <c r="D118" i="1"/>
  <c r="C118" i="1"/>
  <c r="V125" i="1" l="1"/>
  <c r="W125" i="1"/>
  <c r="V129" i="1"/>
  <c r="W129" i="1"/>
  <c r="V130" i="1"/>
  <c r="W130" i="1"/>
  <c r="V179" i="1"/>
  <c r="W179" i="1"/>
  <c r="V244" i="1"/>
  <c r="W244" i="1"/>
  <c r="V298" i="1"/>
  <c r="W298" i="1"/>
  <c r="V299" i="1"/>
  <c r="W299" i="1"/>
  <c r="V300" i="1"/>
  <c r="W300" i="1"/>
  <c r="V303" i="1"/>
  <c r="W303" i="1"/>
  <c r="V327" i="1"/>
  <c r="W327" i="1"/>
  <c r="V328" i="1"/>
  <c r="W328" i="1"/>
  <c r="V329" i="1"/>
  <c r="W329" i="1"/>
  <c r="V330" i="1"/>
  <c r="W330" i="1"/>
  <c r="V331" i="1"/>
  <c r="W331" i="1"/>
  <c r="V332" i="1"/>
  <c r="W332" i="1"/>
  <c r="V333" i="1"/>
  <c r="W333" i="1"/>
  <c r="V334" i="1"/>
  <c r="W334" i="1"/>
  <c r="V335" i="1"/>
  <c r="W335" i="1"/>
  <c r="V336" i="1"/>
  <c r="W336" i="1"/>
  <c r="V337" i="1"/>
  <c r="W337" i="1"/>
  <c r="V338" i="1"/>
  <c r="W338" i="1"/>
  <c r="V339" i="1"/>
  <c r="W339" i="1"/>
  <c r="V340" i="1"/>
  <c r="W340" i="1"/>
  <c r="V341" i="1"/>
  <c r="W341" i="1"/>
  <c r="V342" i="1"/>
  <c r="W342" i="1"/>
  <c r="V343" i="1"/>
  <c r="W343" i="1"/>
  <c r="V344" i="1"/>
  <c r="W344" i="1"/>
  <c r="V345" i="1"/>
  <c r="W345" i="1"/>
  <c r="V346" i="1"/>
  <c r="W346" i="1"/>
  <c r="V102" i="1"/>
  <c r="W102" i="1"/>
  <c r="V118" i="1"/>
  <c r="W118" i="1"/>
  <c r="L326" i="1" l="1"/>
  <c r="K326" i="1"/>
  <c r="J326" i="1"/>
  <c r="H326" i="1"/>
  <c r="I326" i="1" s="1"/>
  <c r="F326" i="1"/>
  <c r="E326" i="1"/>
  <c r="D326" i="1"/>
  <c r="C326" i="1"/>
  <c r="L325" i="1"/>
  <c r="K325" i="1"/>
  <c r="J325" i="1"/>
  <c r="H325" i="1"/>
  <c r="I325" i="1" s="1"/>
  <c r="F325" i="1"/>
  <c r="E325" i="1"/>
  <c r="D325" i="1"/>
  <c r="C325" i="1"/>
  <c r="L324" i="1"/>
  <c r="K324" i="1"/>
  <c r="J324" i="1"/>
  <c r="H324" i="1"/>
  <c r="I324" i="1" s="1"/>
  <c r="F324" i="1"/>
  <c r="E324" i="1"/>
  <c r="D324" i="1"/>
  <c r="C324" i="1"/>
  <c r="W326" i="1" l="1"/>
  <c r="V326" i="1"/>
  <c r="W324" i="1"/>
  <c r="V324" i="1"/>
  <c r="W325" i="1"/>
  <c r="V325" i="1"/>
  <c r="L81" i="1"/>
  <c r="K81" i="1"/>
  <c r="J81" i="1"/>
  <c r="H81" i="1"/>
  <c r="I81" i="1" s="1"/>
  <c r="F81" i="1"/>
  <c r="E81" i="1"/>
  <c r="D81" i="1"/>
  <c r="C81" i="1"/>
  <c r="L117" i="1"/>
  <c r="K117" i="1"/>
  <c r="J117" i="1"/>
  <c r="H117" i="1"/>
  <c r="I117" i="1" s="1"/>
  <c r="F117" i="1"/>
  <c r="E117" i="1"/>
  <c r="D117" i="1"/>
  <c r="C117" i="1"/>
  <c r="L119" i="1"/>
  <c r="K119" i="1"/>
  <c r="J119" i="1"/>
  <c r="F119" i="1"/>
  <c r="E119" i="1"/>
  <c r="D119" i="1"/>
  <c r="C119" i="1"/>
  <c r="V81" i="1" l="1"/>
  <c r="W81" i="1"/>
  <c r="V117" i="1"/>
  <c r="W117" i="1"/>
  <c r="V119" i="1"/>
  <c r="W119" i="1"/>
  <c r="L140" i="1"/>
  <c r="K140" i="1"/>
  <c r="J140" i="1"/>
  <c r="H140" i="1"/>
  <c r="I140" i="1" s="1"/>
  <c r="F140" i="1"/>
  <c r="E140" i="1"/>
  <c r="D140" i="1"/>
  <c r="C140" i="1"/>
  <c r="W140" i="1" l="1"/>
  <c r="V140" i="1"/>
  <c r="L35" i="1"/>
  <c r="K35" i="1"/>
  <c r="J35" i="1"/>
  <c r="H35" i="1"/>
  <c r="I35" i="1" s="1"/>
  <c r="F35" i="1"/>
  <c r="E35" i="1"/>
  <c r="D35" i="1"/>
  <c r="C35" i="1"/>
  <c r="K128" i="1"/>
  <c r="J128" i="1"/>
  <c r="H128" i="1"/>
  <c r="I128" i="1" s="1"/>
  <c r="F128" i="1"/>
  <c r="E128" i="1"/>
  <c r="D128" i="1"/>
  <c r="C128" i="1"/>
  <c r="W128" i="1" l="1"/>
  <c r="V128" i="1"/>
  <c r="V35" i="1"/>
  <c r="W35" i="1"/>
  <c r="L239" i="1"/>
  <c r="K239" i="1"/>
  <c r="J239" i="1"/>
  <c r="H239" i="1"/>
  <c r="I239" i="1" s="1"/>
  <c r="F239" i="1"/>
  <c r="E239" i="1"/>
  <c r="D239" i="1"/>
  <c r="C239" i="1"/>
  <c r="V239" i="1" l="1"/>
  <c r="W239" i="1"/>
  <c r="I126" i="1"/>
  <c r="V126" i="1" l="1"/>
  <c r="W126" i="1"/>
  <c r="L69" i="1"/>
  <c r="K69" i="1"/>
  <c r="J69" i="1"/>
  <c r="H69" i="1"/>
  <c r="I69" i="1" s="1"/>
  <c r="F69" i="1"/>
  <c r="E69" i="1"/>
  <c r="D69" i="1"/>
  <c r="C69" i="1"/>
  <c r="L68" i="1"/>
  <c r="K68" i="1"/>
  <c r="J68" i="1"/>
  <c r="H68" i="1"/>
  <c r="I68" i="1" s="1"/>
  <c r="F68" i="1"/>
  <c r="E68" i="1"/>
  <c r="D68" i="1"/>
  <c r="C68" i="1"/>
  <c r="L67" i="1"/>
  <c r="K67" i="1"/>
  <c r="J67" i="1"/>
  <c r="H67" i="1"/>
  <c r="I67" i="1" s="1"/>
  <c r="F67" i="1"/>
  <c r="E67" i="1"/>
  <c r="D67" i="1"/>
  <c r="C67" i="1"/>
  <c r="L70" i="1"/>
  <c r="K70" i="1"/>
  <c r="J70" i="1"/>
  <c r="H70" i="1"/>
  <c r="I70" i="1" s="1"/>
  <c r="F70" i="1"/>
  <c r="E70" i="1"/>
  <c r="D70" i="1"/>
  <c r="C70" i="1"/>
  <c r="W68" i="1" l="1"/>
  <c r="V68" i="1"/>
  <c r="W70" i="1"/>
  <c r="V70" i="1"/>
  <c r="V69" i="1"/>
  <c r="W69" i="1"/>
  <c r="V67" i="1"/>
  <c r="W67" i="1"/>
  <c r="L131" i="1"/>
  <c r="K131" i="1"/>
  <c r="J131" i="1"/>
  <c r="H131" i="1"/>
  <c r="I131" i="1" s="1"/>
  <c r="F131" i="1"/>
  <c r="E131" i="1"/>
  <c r="D131" i="1"/>
  <c r="C131" i="1"/>
  <c r="L36" i="1"/>
  <c r="K36" i="1"/>
  <c r="J36" i="1"/>
  <c r="H36" i="1"/>
  <c r="I36" i="1" s="1"/>
  <c r="F36" i="1"/>
  <c r="E36" i="1"/>
  <c r="D36" i="1"/>
  <c r="C36" i="1"/>
  <c r="W131" i="1" l="1"/>
  <c r="V131" i="1"/>
  <c r="W36" i="1"/>
  <c r="V36" i="1"/>
  <c r="L31" i="1"/>
  <c r="K31" i="1"/>
  <c r="J31" i="1"/>
  <c r="H31" i="1"/>
  <c r="I31" i="1" s="1"/>
  <c r="F31" i="1"/>
  <c r="E31" i="1"/>
  <c r="D31" i="1"/>
  <c r="C31" i="1"/>
  <c r="L101" i="1"/>
  <c r="K101" i="1"/>
  <c r="J101" i="1"/>
  <c r="H101" i="1"/>
  <c r="I101" i="1" s="1"/>
  <c r="F101" i="1"/>
  <c r="E101" i="1"/>
  <c r="D101" i="1"/>
  <c r="C101" i="1"/>
  <c r="W31" i="1" l="1"/>
  <c r="V31" i="1"/>
  <c r="V101" i="1"/>
  <c r="W101" i="1"/>
  <c r="L212" i="1"/>
  <c r="K212" i="1"/>
  <c r="J212" i="1"/>
  <c r="H212" i="1"/>
  <c r="I212" i="1" s="1"/>
  <c r="F212" i="1"/>
  <c r="E212" i="1"/>
  <c r="D212" i="1"/>
  <c r="C212" i="1"/>
  <c r="L91" i="1"/>
  <c r="K91" i="1"/>
  <c r="J91" i="1"/>
  <c r="H91" i="1"/>
  <c r="I91" i="1" s="1"/>
  <c r="F91" i="1"/>
  <c r="E91" i="1"/>
  <c r="D91" i="1"/>
  <c r="C91" i="1"/>
  <c r="L90" i="1"/>
  <c r="K90" i="1"/>
  <c r="J90" i="1"/>
  <c r="H90" i="1"/>
  <c r="I90" i="1" s="1"/>
  <c r="F90" i="1"/>
  <c r="E90" i="1"/>
  <c r="D90" i="1"/>
  <c r="C90" i="1"/>
  <c r="L89" i="1"/>
  <c r="K89" i="1"/>
  <c r="J89" i="1"/>
  <c r="H89" i="1"/>
  <c r="I89" i="1" s="1"/>
  <c r="F89" i="1"/>
  <c r="E89" i="1"/>
  <c r="D89" i="1"/>
  <c r="C89" i="1"/>
  <c r="L88" i="1"/>
  <c r="K88" i="1"/>
  <c r="J88" i="1"/>
  <c r="H88" i="1"/>
  <c r="I88" i="1" s="1"/>
  <c r="F88" i="1"/>
  <c r="E88" i="1"/>
  <c r="D88" i="1"/>
  <c r="C88" i="1"/>
  <c r="W212" i="1" l="1"/>
  <c r="V212" i="1"/>
  <c r="V88" i="1"/>
  <c r="W88" i="1"/>
  <c r="V90" i="1"/>
  <c r="W90" i="1"/>
  <c r="V89" i="1"/>
  <c r="W89" i="1"/>
  <c r="V91" i="1"/>
  <c r="W91" i="1"/>
  <c r="L27" i="1"/>
  <c r="K27" i="1"/>
  <c r="H27" i="1"/>
  <c r="I27" i="1" s="1"/>
  <c r="F27" i="1"/>
  <c r="E27" i="1"/>
  <c r="D27" i="1"/>
  <c r="C27" i="1"/>
  <c r="L87" i="1"/>
  <c r="K87" i="1"/>
  <c r="J87" i="1"/>
  <c r="H87" i="1"/>
  <c r="I87" i="1" s="1"/>
  <c r="F87" i="1"/>
  <c r="E87" i="1"/>
  <c r="D87" i="1"/>
  <c r="C87" i="1"/>
  <c r="K93" i="1"/>
  <c r="J93" i="1"/>
  <c r="H93" i="1"/>
  <c r="I93" i="1" s="1"/>
  <c r="F93" i="1"/>
  <c r="E93" i="1"/>
  <c r="D93" i="1"/>
  <c r="C93" i="1"/>
  <c r="L93" i="1"/>
  <c r="L92" i="1"/>
  <c r="K92" i="1"/>
  <c r="J92" i="1"/>
  <c r="H92" i="1"/>
  <c r="I92" i="1" s="1"/>
  <c r="F92" i="1"/>
  <c r="E92" i="1"/>
  <c r="D92" i="1"/>
  <c r="C92" i="1"/>
  <c r="L141" i="1"/>
  <c r="K141" i="1"/>
  <c r="J141" i="1"/>
  <c r="H141" i="1"/>
  <c r="I141" i="1" s="1"/>
  <c r="F141" i="1"/>
  <c r="E141" i="1"/>
  <c r="D141" i="1"/>
  <c r="C141" i="1"/>
  <c r="V87" i="1" l="1"/>
  <c r="W87" i="1"/>
  <c r="V141" i="1"/>
  <c r="W141" i="1"/>
  <c r="W27" i="1"/>
  <c r="V27" i="1"/>
  <c r="V93" i="1"/>
  <c r="W93" i="1"/>
  <c r="V92" i="1"/>
  <c r="W92" i="1"/>
  <c r="L289" i="1"/>
  <c r="K289" i="1"/>
  <c r="J289" i="1"/>
  <c r="H289" i="1"/>
  <c r="I289" i="1" s="1"/>
  <c r="F289" i="1"/>
  <c r="E289" i="1"/>
  <c r="D289" i="1"/>
  <c r="C289" i="1"/>
  <c r="L288" i="1"/>
  <c r="K288" i="1"/>
  <c r="J288" i="1"/>
  <c r="H288" i="1"/>
  <c r="I288" i="1" s="1"/>
  <c r="F288" i="1"/>
  <c r="E288" i="1"/>
  <c r="D288" i="1"/>
  <c r="C288" i="1"/>
  <c r="V288" i="1" l="1"/>
  <c r="W288" i="1"/>
  <c r="V289" i="1"/>
  <c r="W289" i="1"/>
  <c r="L317" i="1"/>
  <c r="K317" i="1"/>
  <c r="J317" i="1"/>
  <c r="H317" i="1"/>
  <c r="I317" i="1" s="1"/>
  <c r="F317" i="1"/>
  <c r="E317" i="1"/>
  <c r="D317" i="1"/>
  <c r="C317" i="1"/>
  <c r="L316" i="1"/>
  <c r="K316" i="1"/>
  <c r="J316" i="1"/>
  <c r="H316" i="1"/>
  <c r="I316" i="1" s="1"/>
  <c r="F316" i="1"/>
  <c r="E316" i="1"/>
  <c r="D316" i="1"/>
  <c r="C316" i="1"/>
  <c r="L318" i="1"/>
  <c r="K318" i="1"/>
  <c r="J318" i="1"/>
  <c r="H318" i="1"/>
  <c r="I318" i="1" s="1"/>
  <c r="F318" i="1"/>
  <c r="E318" i="1"/>
  <c r="D318" i="1"/>
  <c r="C318" i="1"/>
  <c r="L319" i="1"/>
  <c r="K319" i="1"/>
  <c r="J319" i="1"/>
  <c r="H319" i="1"/>
  <c r="I319" i="1" s="1"/>
  <c r="F319" i="1"/>
  <c r="E319" i="1"/>
  <c r="D319" i="1"/>
  <c r="C319" i="1"/>
  <c r="L320" i="1"/>
  <c r="K320" i="1"/>
  <c r="J320" i="1"/>
  <c r="H320" i="1"/>
  <c r="I320" i="1" s="1"/>
  <c r="F320" i="1"/>
  <c r="E320" i="1"/>
  <c r="D320" i="1"/>
  <c r="C320" i="1"/>
  <c r="L321" i="1"/>
  <c r="K321" i="1"/>
  <c r="J321" i="1"/>
  <c r="H321" i="1"/>
  <c r="I321" i="1" s="1"/>
  <c r="F321" i="1"/>
  <c r="E321" i="1"/>
  <c r="D321" i="1"/>
  <c r="C321" i="1"/>
  <c r="L322" i="1"/>
  <c r="K322" i="1"/>
  <c r="J322" i="1"/>
  <c r="H322" i="1"/>
  <c r="I322" i="1" s="1"/>
  <c r="F322" i="1"/>
  <c r="E322" i="1"/>
  <c r="D322" i="1"/>
  <c r="C322" i="1"/>
  <c r="L323" i="1"/>
  <c r="K323" i="1"/>
  <c r="J323" i="1"/>
  <c r="H323" i="1"/>
  <c r="I323" i="1" s="1"/>
  <c r="F323" i="1"/>
  <c r="E323" i="1"/>
  <c r="D323" i="1"/>
  <c r="C323" i="1"/>
  <c r="W317" i="1" l="1"/>
  <c r="V317" i="1"/>
  <c r="V323" i="1"/>
  <c r="W323" i="1"/>
  <c r="W319" i="1"/>
  <c r="V319" i="1"/>
  <c r="W318" i="1"/>
  <c r="V318" i="1"/>
  <c r="V320" i="1"/>
  <c r="W320" i="1"/>
  <c r="W322" i="1"/>
  <c r="V322" i="1"/>
  <c r="V321" i="1"/>
  <c r="W321" i="1"/>
  <c r="V316" i="1"/>
  <c r="W316" i="1"/>
  <c r="L282" i="1"/>
  <c r="K282" i="1"/>
  <c r="J282" i="1"/>
  <c r="H282" i="1"/>
  <c r="I282" i="1" s="1"/>
  <c r="F282" i="1"/>
  <c r="E282" i="1"/>
  <c r="D282" i="1"/>
  <c r="C282" i="1"/>
  <c r="L283" i="1"/>
  <c r="K283" i="1"/>
  <c r="J283" i="1"/>
  <c r="H283" i="1"/>
  <c r="I283" i="1" s="1"/>
  <c r="F283" i="1"/>
  <c r="E283" i="1"/>
  <c r="D283" i="1"/>
  <c r="C283" i="1"/>
  <c r="L284" i="1"/>
  <c r="K284" i="1"/>
  <c r="J284" i="1"/>
  <c r="H284" i="1"/>
  <c r="I284" i="1" s="1"/>
  <c r="F284" i="1"/>
  <c r="E284" i="1"/>
  <c r="D284" i="1"/>
  <c r="C284" i="1"/>
  <c r="L287" i="1"/>
  <c r="K287" i="1"/>
  <c r="J287" i="1"/>
  <c r="H287" i="1"/>
  <c r="I287" i="1" s="1"/>
  <c r="F287" i="1"/>
  <c r="E287" i="1"/>
  <c r="D287" i="1"/>
  <c r="C287" i="1"/>
  <c r="L286" i="1"/>
  <c r="K286" i="1"/>
  <c r="J286" i="1"/>
  <c r="H286" i="1"/>
  <c r="I286" i="1" s="1"/>
  <c r="F286" i="1"/>
  <c r="E286" i="1"/>
  <c r="D286" i="1"/>
  <c r="C286" i="1"/>
  <c r="W286" i="1" l="1"/>
  <c r="V286" i="1"/>
  <c r="V282" i="1"/>
  <c r="W282" i="1"/>
  <c r="W287" i="1"/>
  <c r="V287" i="1"/>
  <c r="W284" i="1"/>
  <c r="V284" i="1"/>
  <c r="V283" i="1"/>
  <c r="W283" i="1"/>
  <c r="L178" i="1"/>
  <c r="K178" i="1"/>
  <c r="J178" i="1"/>
  <c r="H178" i="1"/>
  <c r="I178" i="1" s="1"/>
  <c r="F178" i="1"/>
  <c r="E178" i="1"/>
  <c r="D178" i="1"/>
  <c r="C178" i="1"/>
  <c r="P178" i="1" l="1"/>
  <c r="T178" i="1"/>
  <c r="Q178" i="1"/>
  <c r="U178" i="1"/>
  <c r="N178" i="1"/>
  <c r="R178" i="1"/>
  <c r="V178" i="1"/>
  <c r="O178" i="1"/>
  <c r="S178" i="1"/>
  <c r="W178" i="1"/>
  <c r="L121" i="1"/>
  <c r="K121" i="1"/>
  <c r="J121" i="1"/>
  <c r="H121" i="1"/>
  <c r="I121" i="1" s="1"/>
  <c r="F121" i="1"/>
  <c r="E121" i="1"/>
  <c r="D121" i="1"/>
  <c r="C121" i="1"/>
  <c r="L120" i="1"/>
  <c r="K120" i="1"/>
  <c r="J120" i="1"/>
  <c r="H120" i="1"/>
  <c r="I120" i="1" s="1"/>
  <c r="F120" i="1"/>
  <c r="E120" i="1"/>
  <c r="D120" i="1"/>
  <c r="C120" i="1"/>
  <c r="L113" i="1"/>
  <c r="K113" i="1"/>
  <c r="J113" i="1"/>
  <c r="H113" i="1"/>
  <c r="I113" i="1" s="1"/>
  <c r="F113" i="1"/>
  <c r="E113" i="1"/>
  <c r="D113" i="1"/>
  <c r="C113" i="1"/>
  <c r="V113" i="1" l="1"/>
  <c r="W113" i="1"/>
  <c r="W121" i="1"/>
  <c r="V121" i="1"/>
  <c r="W120" i="1"/>
  <c r="V120" i="1"/>
  <c r="L116" i="1"/>
  <c r="K116" i="1"/>
  <c r="J116" i="1"/>
  <c r="H116" i="1"/>
  <c r="I116" i="1" s="1"/>
  <c r="F116" i="1"/>
  <c r="E116" i="1"/>
  <c r="D116" i="1"/>
  <c r="C116" i="1"/>
  <c r="L115" i="1"/>
  <c r="K115" i="1"/>
  <c r="J115" i="1"/>
  <c r="H115" i="1"/>
  <c r="I115" i="1" s="1"/>
  <c r="F115" i="1"/>
  <c r="E115" i="1"/>
  <c r="D115" i="1"/>
  <c r="C115" i="1"/>
  <c r="V116" i="1" l="1"/>
  <c r="W116" i="1"/>
  <c r="V115" i="1"/>
  <c r="W115" i="1"/>
  <c r="L114" i="1"/>
  <c r="K114" i="1"/>
  <c r="J114" i="1"/>
  <c r="H114" i="1"/>
  <c r="I114" i="1" s="1"/>
  <c r="F114" i="1"/>
  <c r="E114" i="1"/>
  <c r="D114" i="1"/>
  <c r="C114" i="1"/>
  <c r="V114" i="1" l="1"/>
  <c r="W114" i="1"/>
  <c r="L291" i="1"/>
  <c r="K291" i="1"/>
  <c r="J291" i="1"/>
  <c r="H291" i="1"/>
  <c r="I291" i="1" s="1"/>
  <c r="F291" i="1"/>
  <c r="E291" i="1"/>
  <c r="D291" i="1"/>
  <c r="C291" i="1"/>
  <c r="W291" i="1" l="1"/>
  <c r="V291" i="1"/>
  <c r="L261" i="1"/>
  <c r="K261" i="1"/>
  <c r="J261" i="1"/>
  <c r="H261" i="1"/>
  <c r="I261" i="1" s="1"/>
  <c r="F261" i="1"/>
  <c r="E261" i="1"/>
  <c r="D261" i="1"/>
  <c r="C261" i="1"/>
  <c r="L259" i="1"/>
  <c r="K259" i="1"/>
  <c r="J259" i="1"/>
  <c r="H259" i="1"/>
  <c r="I259" i="1" s="1"/>
  <c r="F259" i="1"/>
  <c r="E259" i="1"/>
  <c r="D259" i="1"/>
  <c r="C259" i="1"/>
  <c r="L253" i="1"/>
  <c r="K253" i="1"/>
  <c r="J253" i="1"/>
  <c r="H253" i="1"/>
  <c r="I253" i="1" s="1"/>
  <c r="F253" i="1"/>
  <c r="E253" i="1"/>
  <c r="D253" i="1"/>
  <c r="C253" i="1"/>
  <c r="L252" i="1"/>
  <c r="K252" i="1"/>
  <c r="J252" i="1"/>
  <c r="H252" i="1"/>
  <c r="I252" i="1" s="1"/>
  <c r="F252" i="1"/>
  <c r="E252" i="1"/>
  <c r="D252" i="1"/>
  <c r="C252" i="1"/>
  <c r="L251" i="1"/>
  <c r="K251" i="1"/>
  <c r="J251" i="1"/>
  <c r="H251" i="1"/>
  <c r="I251" i="1" s="1"/>
  <c r="F251" i="1"/>
  <c r="E251" i="1"/>
  <c r="D251" i="1"/>
  <c r="C251" i="1"/>
  <c r="L250" i="1"/>
  <c r="K250" i="1"/>
  <c r="J250" i="1"/>
  <c r="H250" i="1"/>
  <c r="I250" i="1" s="1"/>
  <c r="F250" i="1"/>
  <c r="E250" i="1"/>
  <c r="D250" i="1"/>
  <c r="C250" i="1"/>
  <c r="W253" i="1" l="1"/>
  <c r="V253" i="1"/>
  <c r="W250" i="1"/>
  <c r="V250" i="1"/>
  <c r="V259" i="1"/>
  <c r="W259" i="1"/>
  <c r="V251" i="1"/>
  <c r="W251" i="1"/>
  <c r="V261" i="1"/>
  <c r="W261" i="1"/>
  <c r="W252" i="1"/>
  <c r="V252" i="1"/>
  <c r="L38" i="1"/>
  <c r="K38" i="1"/>
  <c r="J38" i="1"/>
  <c r="H38" i="1"/>
  <c r="I38" i="1" s="1"/>
  <c r="F38" i="1"/>
  <c r="E38" i="1"/>
  <c r="D38" i="1"/>
  <c r="C38" i="1"/>
  <c r="L211" i="1"/>
  <c r="K211" i="1"/>
  <c r="J211" i="1"/>
  <c r="H211" i="1"/>
  <c r="I211" i="1" s="1"/>
  <c r="F211" i="1"/>
  <c r="E211" i="1"/>
  <c r="D211" i="1"/>
  <c r="C211" i="1"/>
  <c r="L215" i="1"/>
  <c r="K215" i="1"/>
  <c r="J215" i="1"/>
  <c r="H215" i="1"/>
  <c r="I215" i="1" s="1"/>
  <c r="F215" i="1"/>
  <c r="E215" i="1"/>
  <c r="D215" i="1"/>
  <c r="C215" i="1"/>
  <c r="L214" i="1"/>
  <c r="K214" i="1"/>
  <c r="J214" i="1"/>
  <c r="H214" i="1"/>
  <c r="I214" i="1" s="1"/>
  <c r="F214" i="1"/>
  <c r="E214" i="1"/>
  <c r="D214" i="1"/>
  <c r="C214" i="1"/>
  <c r="L213" i="1"/>
  <c r="K213" i="1"/>
  <c r="J213" i="1"/>
  <c r="H213" i="1"/>
  <c r="I213" i="1" s="1"/>
  <c r="F213" i="1"/>
  <c r="E213" i="1"/>
  <c r="D213" i="1"/>
  <c r="C213" i="1"/>
  <c r="V213" i="1" l="1"/>
  <c r="W213" i="1"/>
  <c r="W38" i="1"/>
  <c r="V38" i="1"/>
  <c r="W215" i="1"/>
  <c r="V215" i="1"/>
  <c r="V214" i="1"/>
  <c r="W214" i="1"/>
  <c r="W211" i="1"/>
  <c r="V211" i="1"/>
  <c r="L240" i="1"/>
  <c r="K240" i="1"/>
  <c r="J240" i="1"/>
  <c r="H240" i="1"/>
  <c r="I240" i="1" s="1"/>
  <c r="F240" i="1"/>
  <c r="E240" i="1"/>
  <c r="D240" i="1"/>
  <c r="C240" i="1"/>
  <c r="L267" i="1"/>
  <c r="K267" i="1"/>
  <c r="J267" i="1"/>
  <c r="H267" i="1"/>
  <c r="I267" i="1" s="1"/>
  <c r="F267" i="1"/>
  <c r="E267" i="1"/>
  <c r="D267" i="1"/>
  <c r="C267" i="1"/>
  <c r="L266" i="1"/>
  <c r="K266" i="1"/>
  <c r="J266" i="1"/>
  <c r="H266" i="1"/>
  <c r="I266" i="1" s="1"/>
  <c r="F266" i="1"/>
  <c r="E266" i="1"/>
  <c r="D266" i="1"/>
  <c r="C266" i="1"/>
  <c r="V266" i="1" l="1"/>
  <c r="W266" i="1"/>
  <c r="W267" i="1"/>
  <c r="V267" i="1"/>
  <c r="V240" i="1"/>
  <c r="W240" i="1"/>
  <c r="L265" i="1"/>
  <c r="K265" i="1"/>
  <c r="J265" i="1"/>
  <c r="H265" i="1"/>
  <c r="I265" i="1" s="1"/>
  <c r="F265" i="1"/>
  <c r="E265" i="1"/>
  <c r="D265" i="1"/>
  <c r="C265" i="1"/>
  <c r="L149" i="1"/>
  <c r="K149" i="1"/>
  <c r="J149" i="1"/>
  <c r="H149" i="1"/>
  <c r="I149" i="1" s="1"/>
  <c r="F149" i="1"/>
  <c r="E149" i="1"/>
  <c r="D149" i="1"/>
  <c r="C149" i="1"/>
  <c r="L148" i="1"/>
  <c r="K148" i="1"/>
  <c r="J148" i="1"/>
  <c r="H148" i="1"/>
  <c r="I148" i="1" s="1"/>
  <c r="F148" i="1"/>
  <c r="E148" i="1"/>
  <c r="D148" i="1"/>
  <c r="C148" i="1"/>
  <c r="W148" i="1" l="1"/>
  <c r="V148" i="1"/>
  <c r="W265" i="1"/>
  <c r="V265" i="1"/>
  <c r="W149" i="1"/>
  <c r="V149" i="1"/>
  <c r="L147" i="1"/>
  <c r="K147" i="1"/>
  <c r="J147" i="1"/>
  <c r="H147" i="1"/>
  <c r="I147" i="1" s="1"/>
  <c r="F147" i="1"/>
  <c r="E147" i="1"/>
  <c r="D147" i="1"/>
  <c r="C147" i="1"/>
  <c r="L146" i="1"/>
  <c r="K146" i="1"/>
  <c r="J146" i="1"/>
  <c r="H146" i="1"/>
  <c r="I146" i="1" s="1"/>
  <c r="F146" i="1"/>
  <c r="E146" i="1"/>
  <c r="D146" i="1"/>
  <c r="C146" i="1"/>
  <c r="L145" i="1"/>
  <c r="K145" i="1"/>
  <c r="J145" i="1"/>
  <c r="H145" i="1"/>
  <c r="I145" i="1" s="1"/>
  <c r="F145" i="1"/>
  <c r="E145" i="1"/>
  <c r="D145" i="1"/>
  <c r="C145" i="1"/>
  <c r="L144" i="1"/>
  <c r="L143" i="1"/>
  <c r="K144" i="1"/>
  <c r="J144" i="1"/>
  <c r="H144" i="1"/>
  <c r="I144" i="1" s="1"/>
  <c r="F144" i="1"/>
  <c r="E144" i="1"/>
  <c r="D144" i="1"/>
  <c r="C144" i="1"/>
  <c r="K143" i="1"/>
  <c r="J143" i="1"/>
  <c r="H143" i="1"/>
  <c r="I143" i="1" s="1"/>
  <c r="F143" i="1"/>
  <c r="E143" i="1"/>
  <c r="D143" i="1"/>
  <c r="C143" i="1"/>
  <c r="L142" i="1"/>
  <c r="K142" i="1"/>
  <c r="J142" i="1"/>
  <c r="H142" i="1"/>
  <c r="I142" i="1" s="1"/>
  <c r="F142" i="1"/>
  <c r="E142" i="1"/>
  <c r="D142" i="1"/>
  <c r="C142" i="1"/>
  <c r="L245" i="1"/>
  <c r="K245" i="1"/>
  <c r="J245" i="1"/>
  <c r="H245" i="1"/>
  <c r="I245" i="1" s="1"/>
  <c r="F245" i="1"/>
  <c r="E245" i="1"/>
  <c r="D245" i="1"/>
  <c r="C245" i="1"/>
  <c r="V142" i="1" l="1"/>
  <c r="W142" i="1"/>
  <c r="V245" i="1"/>
  <c r="W245" i="1"/>
  <c r="W145" i="1"/>
  <c r="V145" i="1"/>
  <c r="W143" i="1"/>
  <c r="V143" i="1"/>
  <c r="V144" i="1"/>
  <c r="W144" i="1"/>
  <c r="V147" i="1"/>
  <c r="W147" i="1"/>
  <c r="W146" i="1"/>
  <c r="V146" i="1"/>
  <c r="L231" i="1"/>
  <c r="K231" i="1"/>
  <c r="J231" i="1"/>
  <c r="H231" i="1"/>
  <c r="I231" i="1" s="1"/>
  <c r="F231" i="1"/>
  <c r="E231" i="1"/>
  <c r="D231" i="1"/>
  <c r="C231" i="1"/>
  <c r="W231" i="1" l="1"/>
  <c r="V231" i="1"/>
  <c r="L230" i="1"/>
  <c r="K230" i="1"/>
  <c r="J230" i="1"/>
  <c r="H230" i="1"/>
  <c r="I230" i="1" s="1"/>
  <c r="F230" i="1"/>
  <c r="E230" i="1"/>
  <c r="D230" i="1"/>
  <c r="C230" i="1"/>
  <c r="L229" i="1"/>
  <c r="K229" i="1"/>
  <c r="J229" i="1"/>
  <c r="H229" i="1"/>
  <c r="I229" i="1" s="1"/>
  <c r="F229" i="1"/>
  <c r="E229" i="1"/>
  <c r="D229" i="1"/>
  <c r="C229" i="1"/>
  <c r="L228" i="1"/>
  <c r="K228" i="1"/>
  <c r="J228" i="1"/>
  <c r="H228" i="1"/>
  <c r="I228" i="1" s="1"/>
  <c r="F228" i="1"/>
  <c r="E228" i="1"/>
  <c r="D228" i="1"/>
  <c r="C228" i="1"/>
  <c r="L227" i="1"/>
  <c r="K227" i="1"/>
  <c r="J227" i="1"/>
  <c r="H227" i="1"/>
  <c r="I227" i="1" s="1"/>
  <c r="F227" i="1"/>
  <c r="E227" i="1"/>
  <c r="D227" i="1"/>
  <c r="C227" i="1"/>
  <c r="L226" i="1"/>
  <c r="K226" i="1"/>
  <c r="J226" i="1"/>
  <c r="H226" i="1"/>
  <c r="I226" i="1" s="1"/>
  <c r="F226" i="1"/>
  <c r="E226" i="1"/>
  <c r="D226" i="1"/>
  <c r="C226" i="1"/>
  <c r="W230" i="1" l="1"/>
  <c r="V230" i="1"/>
  <c r="V227" i="1"/>
  <c r="W227" i="1"/>
  <c r="W226" i="1"/>
  <c r="V226" i="1"/>
  <c r="W228" i="1"/>
  <c r="V228" i="1"/>
  <c r="V229" i="1"/>
  <c r="W229" i="1"/>
  <c r="L315" i="1"/>
  <c r="K315" i="1"/>
  <c r="J315" i="1"/>
  <c r="H315" i="1"/>
  <c r="I315" i="1" s="1"/>
  <c r="F315" i="1"/>
  <c r="L314" i="1"/>
  <c r="K314" i="1"/>
  <c r="J314" i="1"/>
  <c r="H314" i="1"/>
  <c r="I314" i="1" s="1"/>
  <c r="F314" i="1"/>
  <c r="L313" i="1"/>
  <c r="K313" i="1"/>
  <c r="J313" i="1"/>
  <c r="H313" i="1"/>
  <c r="I313" i="1" s="1"/>
  <c r="F313" i="1"/>
  <c r="L312" i="1"/>
  <c r="K312" i="1"/>
  <c r="J312" i="1"/>
  <c r="H312" i="1"/>
  <c r="I312" i="1" s="1"/>
  <c r="F312" i="1"/>
  <c r="L311" i="1"/>
  <c r="K311" i="1"/>
  <c r="J311" i="1"/>
  <c r="H311" i="1"/>
  <c r="I311" i="1" s="1"/>
  <c r="F311" i="1"/>
  <c r="E315" i="1"/>
  <c r="D315" i="1"/>
  <c r="C315" i="1"/>
  <c r="E314" i="1"/>
  <c r="D314" i="1"/>
  <c r="C314" i="1"/>
  <c r="E313" i="1"/>
  <c r="D313" i="1"/>
  <c r="C313" i="1"/>
  <c r="E312" i="1"/>
  <c r="D312" i="1"/>
  <c r="C312" i="1"/>
  <c r="E311" i="1"/>
  <c r="D311" i="1"/>
  <c r="C311" i="1"/>
  <c r="W310" i="1" l="1"/>
  <c r="V310" i="1"/>
  <c r="W312" i="1"/>
  <c r="V312" i="1"/>
  <c r="W314" i="1"/>
  <c r="V314" i="1"/>
  <c r="V311" i="1"/>
  <c r="W311" i="1"/>
  <c r="V313" i="1"/>
  <c r="W313" i="1"/>
  <c r="W315" i="1"/>
  <c r="V315" i="1"/>
  <c r="E137" i="1"/>
  <c r="D137" i="1"/>
  <c r="C137" i="1"/>
  <c r="E138" i="1" l="1"/>
  <c r="D138" i="1"/>
  <c r="C138" i="1"/>
  <c r="E139" i="1" l="1"/>
  <c r="D139" i="1"/>
  <c r="C139" i="1"/>
  <c r="E37" i="1" l="1"/>
  <c r="D37" i="1"/>
  <c r="C37" i="1"/>
  <c r="E152" i="1" l="1"/>
  <c r="D152" i="1"/>
  <c r="C152" i="1"/>
  <c r="E154" i="1" l="1"/>
  <c r="D154" i="1"/>
  <c r="C154" i="1"/>
  <c r="E155" i="1"/>
  <c r="D155" i="1"/>
  <c r="C155" i="1"/>
  <c r="E162" i="1"/>
  <c r="D162" i="1"/>
  <c r="C162" i="1"/>
  <c r="E161" i="1"/>
  <c r="D161" i="1"/>
  <c r="C161" i="1"/>
  <c r="E163" i="1"/>
  <c r="D163" i="1"/>
  <c r="C163" i="1"/>
  <c r="E164" i="1"/>
  <c r="D164" i="1"/>
  <c r="C164" i="1"/>
  <c r="E165" i="1"/>
  <c r="D165" i="1"/>
  <c r="C165" i="1"/>
  <c r="E168" i="1"/>
  <c r="D168" i="1"/>
  <c r="C168" i="1"/>
  <c r="E170" i="1"/>
  <c r="D170" i="1"/>
  <c r="C170" i="1"/>
  <c r="E206" i="1"/>
  <c r="D206" i="1"/>
  <c r="C206" i="1"/>
  <c r="E293" i="1"/>
  <c r="D293" i="1"/>
  <c r="C293" i="1"/>
  <c r="L305" i="1" l="1"/>
  <c r="K305" i="1"/>
  <c r="J305" i="1"/>
  <c r="H305" i="1"/>
  <c r="F305" i="1"/>
  <c r="E307" i="1" l="1"/>
  <c r="D307" i="1"/>
  <c r="C307" i="1"/>
  <c r="E305" i="1"/>
  <c r="D305" i="1"/>
  <c r="C305" i="1"/>
  <c r="E306" i="1"/>
  <c r="D306" i="1"/>
  <c r="C306" i="1"/>
  <c r="E181" i="1" l="1"/>
  <c r="D181" i="1"/>
  <c r="C181" i="1"/>
  <c r="E97" i="1" l="1"/>
  <c r="D97" i="1"/>
  <c r="C97" i="1"/>
  <c r="E34" i="1" l="1"/>
  <c r="D34" i="1"/>
  <c r="C34" i="1"/>
  <c r="E84" i="1"/>
  <c r="D84" i="1"/>
  <c r="C84" i="1"/>
  <c r="E83" i="1"/>
  <c r="D83" i="1"/>
  <c r="C83" i="1"/>
  <c r="E82" i="1"/>
  <c r="D82" i="1"/>
  <c r="C82" i="1"/>
  <c r="E276" i="1"/>
  <c r="D276" i="1"/>
  <c r="C276" i="1"/>
  <c r="E46" i="1" l="1"/>
  <c r="D46" i="1"/>
  <c r="C46" i="1"/>
  <c r="E45" i="1"/>
  <c r="D45" i="1"/>
  <c r="C45" i="1"/>
  <c r="E44" i="1"/>
  <c r="D44" i="1"/>
  <c r="C44" i="1"/>
  <c r="E43" i="1"/>
  <c r="D43" i="1"/>
  <c r="C43" i="1"/>
  <c r="E297" i="1" l="1"/>
  <c r="D297" i="1"/>
  <c r="C297" i="1"/>
  <c r="E290" i="1"/>
  <c r="D290" i="1"/>
  <c r="C290" i="1"/>
  <c r="E42" i="1" l="1"/>
  <c r="D42" i="1"/>
  <c r="C42" i="1"/>
  <c r="E41" i="1"/>
  <c r="D41" i="1"/>
  <c r="C41" i="1"/>
  <c r="E40" i="1"/>
  <c r="D40" i="1"/>
  <c r="C40" i="1"/>
  <c r="E39" i="1"/>
  <c r="D39" i="1"/>
  <c r="C39" i="1"/>
  <c r="E11" i="1"/>
  <c r="D11" i="1"/>
  <c r="C11" i="1"/>
  <c r="E210" i="1" l="1"/>
  <c r="D210" i="1"/>
  <c r="C210" i="1"/>
  <c r="E209" i="1"/>
  <c r="D209" i="1"/>
  <c r="C209" i="1"/>
  <c r="E208" i="1"/>
  <c r="D208" i="1"/>
  <c r="C208" i="1"/>
  <c r="E103" i="1"/>
  <c r="D103" i="1"/>
  <c r="C103" i="1"/>
  <c r="E49" i="1"/>
  <c r="D49" i="1"/>
  <c r="C49" i="1"/>
  <c r="E48" i="1"/>
  <c r="D48" i="1"/>
  <c r="C48" i="1"/>
  <c r="E96" i="1" l="1"/>
  <c r="D96" i="1"/>
  <c r="C96" i="1"/>
  <c r="E95" i="1"/>
  <c r="D95" i="1"/>
  <c r="C95" i="1"/>
  <c r="E94" i="1"/>
  <c r="D94" i="1"/>
  <c r="C94" i="1"/>
  <c r="E28" i="1"/>
  <c r="D28" i="1"/>
  <c r="C28" i="1"/>
  <c r="E112" i="1" l="1"/>
  <c r="D112" i="1"/>
  <c r="C112" i="1"/>
  <c r="E271" i="1"/>
  <c r="D271" i="1"/>
  <c r="C271" i="1"/>
  <c r="E279" i="1"/>
  <c r="D279" i="1"/>
  <c r="C279" i="1"/>
  <c r="E50" i="1"/>
  <c r="D50" i="1"/>
  <c r="C50" i="1"/>
  <c r="E33" i="1"/>
  <c r="D33" i="1"/>
  <c r="C33" i="1"/>
  <c r="E32" i="1" l="1"/>
  <c r="D32" i="1"/>
  <c r="C32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308" i="1" l="1"/>
  <c r="D308" i="1"/>
  <c r="C308" i="1"/>
  <c r="E108" i="1"/>
  <c r="D108" i="1"/>
  <c r="C108" i="1"/>
  <c r="E111" i="1"/>
  <c r="D111" i="1"/>
  <c r="C111" i="1"/>
  <c r="E218" i="1" l="1"/>
  <c r="D218" i="1"/>
  <c r="C218" i="1"/>
  <c r="E217" i="1"/>
  <c r="D217" i="1"/>
  <c r="C217" i="1"/>
  <c r="E216" i="1"/>
  <c r="D216" i="1"/>
  <c r="C216" i="1"/>
  <c r="E219" i="1"/>
  <c r="D219" i="1"/>
  <c r="C219" i="1"/>
  <c r="E220" i="1"/>
  <c r="D220" i="1"/>
  <c r="C220" i="1"/>
  <c r="E222" i="1"/>
  <c r="D222" i="1"/>
  <c r="C222" i="1"/>
  <c r="E304" i="1" l="1"/>
  <c r="D304" i="1"/>
  <c r="C304" i="1"/>
  <c r="E29" i="1"/>
  <c r="D29" i="1"/>
  <c r="C29" i="1"/>
  <c r="E110" i="1"/>
  <c r="D110" i="1"/>
  <c r="C110" i="1"/>
  <c r="E109" i="1"/>
  <c r="D109" i="1"/>
  <c r="C109" i="1"/>
  <c r="E249" i="1"/>
  <c r="D249" i="1"/>
  <c r="C249" i="1"/>
  <c r="E248" i="1"/>
  <c r="D248" i="1"/>
  <c r="C248" i="1"/>
  <c r="E247" i="1"/>
  <c r="D247" i="1"/>
  <c r="C247" i="1"/>
  <c r="E180" i="1" l="1"/>
  <c r="D180" i="1"/>
  <c r="C180" i="1"/>
  <c r="E30" i="1"/>
  <c r="D30" i="1"/>
  <c r="C30" i="1"/>
  <c r="E21" i="1" l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47" i="1"/>
  <c r="D47" i="1"/>
  <c r="C47" i="1"/>
  <c r="E86" i="1"/>
  <c r="D86" i="1"/>
  <c r="C86" i="1"/>
  <c r="E246" i="1"/>
  <c r="D246" i="1"/>
  <c r="C246" i="1"/>
  <c r="E272" i="1"/>
  <c r="D272" i="1"/>
  <c r="C272" i="1"/>
  <c r="E237" i="1" l="1"/>
  <c r="D237" i="1"/>
  <c r="C237" i="1"/>
  <c r="E71" i="1" l="1"/>
  <c r="D71" i="1"/>
  <c r="C71" i="1"/>
  <c r="E25" i="1"/>
  <c r="D25" i="1"/>
  <c r="C25" i="1"/>
  <c r="E12" i="1"/>
  <c r="D12" i="1"/>
  <c r="C12" i="1"/>
  <c r="E243" i="1"/>
  <c r="D243" i="1"/>
  <c r="C243" i="1"/>
  <c r="E242" i="1"/>
  <c r="D242" i="1"/>
  <c r="C242" i="1"/>
  <c r="E241" i="1"/>
  <c r="D241" i="1"/>
  <c r="C241" i="1"/>
  <c r="E309" i="1" l="1"/>
  <c r="D309" i="1"/>
  <c r="C309" i="1"/>
  <c r="E151" i="1"/>
  <c r="D151" i="1"/>
  <c r="C151" i="1"/>
  <c r="E150" i="1"/>
  <c r="D150" i="1"/>
  <c r="C150" i="1"/>
  <c r="E153" i="1"/>
  <c r="D153" i="1"/>
  <c r="C153" i="1"/>
  <c r="E72" i="1"/>
  <c r="D72" i="1"/>
  <c r="C72" i="1"/>
  <c r="E14" i="1"/>
  <c r="D14" i="1"/>
  <c r="C14" i="1"/>
  <c r="F14" i="1"/>
  <c r="E13" i="1"/>
  <c r="D13" i="1"/>
  <c r="C13" i="1"/>
  <c r="E167" i="1" l="1"/>
  <c r="D167" i="1"/>
  <c r="C167" i="1"/>
  <c r="E166" i="1"/>
  <c r="D166" i="1"/>
  <c r="C166" i="1"/>
  <c r="E158" i="1"/>
  <c r="D158" i="1"/>
  <c r="C158" i="1"/>
  <c r="E157" i="1"/>
  <c r="D157" i="1"/>
  <c r="C157" i="1"/>
  <c r="E156" i="1"/>
  <c r="D156" i="1"/>
  <c r="C156" i="1"/>
  <c r="E260" i="1" l="1"/>
  <c r="D260" i="1"/>
  <c r="C260" i="1"/>
  <c r="E73" i="1"/>
  <c r="D73" i="1"/>
  <c r="C73" i="1"/>
  <c r="E26" i="1"/>
  <c r="D26" i="1"/>
  <c r="C26" i="1"/>
  <c r="E159" i="1" l="1"/>
  <c r="D159" i="1"/>
  <c r="C159" i="1"/>
  <c r="E160" i="1"/>
  <c r="D160" i="1"/>
  <c r="C160" i="1"/>
  <c r="E169" i="1"/>
  <c r="D169" i="1"/>
  <c r="C169" i="1"/>
  <c r="E176" i="1"/>
  <c r="D176" i="1"/>
  <c r="C176" i="1"/>
  <c r="E175" i="1"/>
  <c r="D175" i="1"/>
  <c r="C175" i="1"/>
  <c r="E173" i="1"/>
  <c r="D173" i="1"/>
  <c r="C173" i="1"/>
  <c r="E172" i="1"/>
  <c r="D172" i="1"/>
  <c r="C172" i="1"/>
  <c r="E171" i="1"/>
  <c r="D171" i="1"/>
  <c r="C171" i="1"/>
  <c r="E204" i="1" l="1"/>
  <c r="D204" i="1"/>
  <c r="C204" i="1"/>
  <c r="E202" i="1"/>
  <c r="D202" i="1"/>
  <c r="C202" i="1"/>
  <c r="D201" i="1"/>
  <c r="C201" i="1"/>
  <c r="E201" i="1"/>
  <c r="E296" i="1"/>
  <c r="D296" i="1"/>
  <c r="C296" i="1"/>
  <c r="E295" i="1"/>
  <c r="D295" i="1"/>
  <c r="C295" i="1"/>
  <c r="E294" i="1"/>
  <c r="D294" i="1"/>
  <c r="C294" i="1"/>
  <c r="E238" i="1" l="1"/>
  <c r="D238" i="1"/>
  <c r="C238" i="1"/>
  <c r="E205" i="1" l="1"/>
  <c r="D205" i="1"/>
  <c r="C205" i="1"/>
  <c r="E200" i="1"/>
  <c r="D200" i="1"/>
  <c r="C200" i="1"/>
  <c r="E199" i="1" l="1"/>
  <c r="D199" i="1"/>
  <c r="C199" i="1"/>
  <c r="E203" i="1" l="1"/>
  <c r="D203" i="1"/>
  <c r="C203" i="1"/>
  <c r="F195" i="1" l="1"/>
  <c r="E195" i="1"/>
  <c r="D195" i="1"/>
  <c r="C195" i="1"/>
  <c r="E187" i="1" l="1"/>
  <c r="D187" i="1"/>
  <c r="C187" i="1"/>
  <c r="E197" i="1" l="1"/>
  <c r="D197" i="1"/>
  <c r="C197" i="1"/>
  <c r="E190" i="1" l="1"/>
  <c r="D190" i="1"/>
  <c r="C190" i="1"/>
  <c r="E189" i="1"/>
  <c r="D189" i="1"/>
  <c r="C189" i="1"/>
  <c r="E64" i="1"/>
  <c r="D64" i="1"/>
  <c r="C64" i="1"/>
  <c r="E198" i="1"/>
  <c r="D198" i="1"/>
  <c r="C198" i="1"/>
  <c r="E193" i="1" l="1"/>
  <c r="D193" i="1"/>
  <c r="C193" i="1"/>
  <c r="E196" i="1"/>
  <c r="D196" i="1"/>
  <c r="C196" i="1"/>
  <c r="E24" i="1" l="1"/>
  <c r="D24" i="1"/>
  <c r="C24" i="1"/>
  <c r="E55" i="1"/>
  <c r="D55" i="1"/>
  <c r="C55" i="1"/>
  <c r="E258" i="1" l="1"/>
  <c r="D258" i="1"/>
  <c r="C258" i="1"/>
  <c r="E22" i="1"/>
  <c r="D22" i="1"/>
  <c r="C22" i="1"/>
  <c r="E57" i="1" l="1"/>
  <c r="D57" i="1"/>
  <c r="C57" i="1"/>
  <c r="E54" i="1" l="1"/>
  <c r="D54" i="1"/>
  <c r="C54" i="1"/>
  <c r="E236" i="1" l="1"/>
  <c r="D236" i="1"/>
  <c r="C236" i="1"/>
  <c r="E235" i="1"/>
  <c r="D235" i="1"/>
  <c r="C235" i="1"/>
  <c r="E232" i="1"/>
  <c r="D232" i="1"/>
  <c r="C232" i="1"/>
  <c r="E174" i="1" l="1"/>
  <c r="D174" i="1"/>
  <c r="C174" i="1"/>
  <c r="E59" i="1" l="1"/>
  <c r="D59" i="1"/>
  <c r="C59" i="1"/>
  <c r="E185" i="1"/>
  <c r="D185" i="1"/>
  <c r="C185" i="1"/>
  <c r="E192" i="1"/>
  <c r="D192" i="1"/>
  <c r="C192" i="1"/>
  <c r="E191" i="1"/>
  <c r="D191" i="1"/>
  <c r="C191" i="1"/>
  <c r="E186" i="1"/>
  <c r="D186" i="1"/>
  <c r="C186" i="1"/>
  <c r="E188" i="1"/>
  <c r="D188" i="1"/>
  <c r="C188" i="1"/>
  <c r="E194" i="1"/>
  <c r="D194" i="1"/>
  <c r="C194" i="1"/>
  <c r="E184" i="1" l="1"/>
  <c r="D184" i="1"/>
  <c r="C184" i="1"/>
  <c r="E63" i="1"/>
  <c r="D63" i="1"/>
  <c r="C63" i="1"/>
  <c r="E65" i="1" l="1"/>
  <c r="D65" i="1"/>
  <c r="C65" i="1"/>
  <c r="E66" i="1"/>
  <c r="D66" i="1"/>
  <c r="C66" i="1"/>
  <c r="E98" i="1"/>
  <c r="D98" i="1"/>
  <c r="C98" i="1"/>
  <c r="E62" i="1" l="1"/>
  <c r="D62" i="1"/>
  <c r="C62" i="1"/>
  <c r="E58" i="1" l="1"/>
  <c r="D58" i="1"/>
  <c r="C58" i="1"/>
  <c r="E61" i="1"/>
  <c r="D61" i="1"/>
  <c r="C61" i="1"/>
  <c r="E183" i="1" l="1"/>
  <c r="E60" i="1" l="1"/>
  <c r="E80" i="1" l="1"/>
  <c r="D80" i="1" l="1"/>
  <c r="C80" i="1"/>
  <c r="D60" i="1" l="1"/>
  <c r="C60" i="1"/>
  <c r="D182" i="1" l="1"/>
  <c r="C182" i="1"/>
  <c r="D183" i="1" l="1"/>
  <c r="C183" i="1"/>
  <c r="L170" i="1" l="1"/>
  <c r="K170" i="1"/>
  <c r="J170" i="1"/>
  <c r="H170" i="1"/>
  <c r="I170" i="1" s="1"/>
  <c r="F170" i="1"/>
  <c r="W170" i="1" l="1"/>
  <c r="V170" i="1"/>
  <c r="L309" i="1"/>
  <c r="K309" i="1"/>
  <c r="J309" i="1"/>
  <c r="H309" i="1"/>
  <c r="I309" i="1" s="1"/>
  <c r="F309" i="1"/>
  <c r="L308" i="1"/>
  <c r="K308" i="1"/>
  <c r="J308" i="1"/>
  <c r="H308" i="1"/>
  <c r="I308" i="1" s="1"/>
  <c r="F308" i="1"/>
  <c r="W308" i="1" l="1"/>
  <c r="V308" i="1"/>
  <c r="V309" i="1"/>
  <c r="W309" i="1"/>
  <c r="L197" i="1"/>
  <c r="K197" i="1"/>
  <c r="J197" i="1"/>
  <c r="H197" i="1"/>
  <c r="I197" i="1" s="1"/>
  <c r="F197" i="1"/>
  <c r="L198" i="1"/>
  <c r="K198" i="1"/>
  <c r="J198" i="1"/>
  <c r="H198" i="1"/>
  <c r="I198" i="1" s="1"/>
  <c r="F198" i="1"/>
  <c r="L200" i="1"/>
  <c r="K200" i="1"/>
  <c r="J200" i="1"/>
  <c r="H200" i="1"/>
  <c r="I200" i="1" s="1"/>
  <c r="F200" i="1"/>
  <c r="L199" i="1"/>
  <c r="K199" i="1"/>
  <c r="J199" i="1"/>
  <c r="H199" i="1"/>
  <c r="I199" i="1" s="1"/>
  <c r="F199" i="1"/>
  <c r="L203" i="1"/>
  <c r="K203" i="1"/>
  <c r="J203" i="1"/>
  <c r="H203" i="1"/>
  <c r="I203" i="1" s="1"/>
  <c r="F203" i="1"/>
  <c r="L187" i="1"/>
  <c r="K187" i="1"/>
  <c r="J187" i="1"/>
  <c r="H187" i="1"/>
  <c r="I187" i="1" s="1"/>
  <c r="F187" i="1"/>
  <c r="L97" i="1"/>
  <c r="K97" i="1"/>
  <c r="J97" i="1"/>
  <c r="H97" i="1"/>
  <c r="I97" i="1" s="1"/>
  <c r="F97" i="1"/>
  <c r="L293" i="1"/>
  <c r="K293" i="1"/>
  <c r="J293" i="1"/>
  <c r="H293" i="1"/>
  <c r="I293" i="1" s="1"/>
  <c r="F293" i="1"/>
  <c r="V200" i="1" l="1"/>
  <c r="W200" i="1"/>
  <c r="W197" i="1"/>
  <c r="V197" i="1"/>
  <c r="V293" i="1"/>
  <c r="W293" i="1"/>
  <c r="W199" i="1"/>
  <c r="V199" i="1"/>
  <c r="V97" i="1"/>
  <c r="W97" i="1"/>
  <c r="W203" i="1"/>
  <c r="V203" i="1"/>
  <c r="V292" i="1"/>
  <c r="W292" i="1"/>
  <c r="W187" i="1"/>
  <c r="V187" i="1"/>
  <c r="V198" i="1"/>
  <c r="W198" i="1"/>
  <c r="L307" i="1"/>
  <c r="K307" i="1"/>
  <c r="J307" i="1"/>
  <c r="H307" i="1"/>
  <c r="I307" i="1" s="1"/>
  <c r="F307" i="1"/>
  <c r="L304" i="1"/>
  <c r="K304" i="1"/>
  <c r="J304" i="1"/>
  <c r="H304" i="1"/>
  <c r="I304" i="1" s="1"/>
  <c r="F304" i="1"/>
  <c r="V307" i="1" l="1"/>
  <c r="W307" i="1"/>
  <c r="W304" i="1"/>
  <c r="V304" i="1"/>
  <c r="L201" i="1"/>
  <c r="K201" i="1"/>
  <c r="J201" i="1"/>
  <c r="H201" i="1"/>
  <c r="I201" i="1" s="1"/>
  <c r="F201" i="1"/>
  <c r="W207" i="1" l="1"/>
  <c r="V207" i="1"/>
  <c r="V201" i="1"/>
  <c r="W201" i="1"/>
  <c r="L204" i="1"/>
  <c r="K204" i="1"/>
  <c r="J204" i="1"/>
  <c r="H204" i="1"/>
  <c r="I204" i="1" s="1"/>
  <c r="F204" i="1"/>
  <c r="L205" i="1"/>
  <c r="K205" i="1"/>
  <c r="J205" i="1"/>
  <c r="H205" i="1"/>
  <c r="I205" i="1" s="1"/>
  <c r="F205" i="1"/>
  <c r="L206" i="1"/>
  <c r="K206" i="1"/>
  <c r="J206" i="1"/>
  <c r="H206" i="1"/>
  <c r="I206" i="1" s="1"/>
  <c r="F206" i="1"/>
  <c r="L202" i="1"/>
  <c r="K202" i="1"/>
  <c r="J202" i="1"/>
  <c r="H202" i="1"/>
  <c r="I202" i="1" s="1"/>
  <c r="F202" i="1"/>
  <c r="L294" i="1"/>
  <c r="K294" i="1"/>
  <c r="J294" i="1"/>
  <c r="H294" i="1"/>
  <c r="I294" i="1" s="1"/>
  <c r="F294" i="1"/>
  <c r="L295" i="1"/>
  <c r="K295" i="1"/>
  <c r="J295" i="1"/>
  <c r="H295" i="1"/>
  <c r="I295" i="1" s="1"/>
  <c r="F295" i="1"/>
  <c r="L296" i="1"/>
  <c r="K296" i="1"/>
  <c r="J296" i="1"/>
  <c r="H296" i="1"/>
  <c r="I296" i="1" s="1"/>
  <c r="F296" i="1"/>
  <c r="L246" i="1"/>
  <c r="K246" i="1"/>
  <c r="J246" i="1"/>
  <c r="H246" i="1"/>
  <c r="I246" i="1" s="1"/>
  <c r="F246" i="1"/>
  <c r="L238" i="1"/>
  <c r="K238" i="1"/>
  <c r="J238" i="1"/>
  <c r="H238" i="1"/>
  <c r="I238" i="1" s="1"/>
  <c r="F238" i="1"/>
  <c r="L237" i="1"/>
  <c r="K237" i="1"/>
  <c r="J237" i="1"/>
  <c r="H237" i="1"/>
  <c r="I237" i="1" s="1"/>
  <c r="F237" i="1"/>
  <c r="L236" i="1"/>
  <c r="K236" i="1"/>
  <c r="J236" i="1"/>
  <c r="H236" i="1"/>
  <c r="I236" i="1" s="1"/>
  <c r="F236" i="1"/>
  <c r="L235" i="1"/>
  <c r="K235" i="1"/>
  <c r="J235" i="1"/>
  <c r="H235" i="1"/>
  <c r="I235" i="1" s="1"/>
  <c r="F235" i="1"/>
  <c r="L232" i="1"/>
  <c r="K232" i="1"/>
  <c r="J232" i="1"/>
  <c r="H232" i="1"/>
  <c r="I232" i="1" s="1"/>
  <c r="F232" i="1"/>
  <c r="L222" i="1"/>
  <c r="K222" i="1"/>
  <c r="J222" i="1"/>
  <c r="H222" i="1"/>
  <c r="I222" i="1" s="1"/>
  <c r="F222" i="1"/>
  <c r="L219" i="1"/>
  <c r="K219" i="1"/>
  <c r="J219" i="1"/>
  <c r="H219" i="1"/>
  <c r="I219" i="1" s="1"/>
  <c r="F219" i="1"/>
  <c r="L218" i="1"/>
  <c r="K218" i="1"/>
  <c r="J218" i="1"/>
  <c r="H218" i="1"/>
  <c r="I218" i="1" s="1"/>
  <c r="F218" i="1"/>
  <c r="L217" i="1"/>
  <c r="K217" i="1"/>
  <c r="J217" i="1"/>
  <c r="H217" i="1"/>
  <c r="I217" i="1" s="1"/>
  <c r="F217" i="1"/>
  <c r="L216" i="1"/>
  <c r="K216" i="1"/>
  <c r="J216" i="1"/>
  <c r="H216" i="1"/>
  <c r="I216" i="1" s="1"/>
  <c r="F216" i="1"/>
  <c r="L220" i="1"/>
  <c r="K220" i="1"/>
  <c r="J220" i="1"/>
  <c r="H220" i="1"/>
  <c r="I220" i="1" s="1"/>
  <c r="F220" i="1"/>
  <c r="L58" i="1"/>
  <c r="K58" i="1"/>
  <c r="J58" i="1"/>
  <c r="H58" i="1"/>
  <c r="F58" i="1"/>
  <c r="L80" i="1"/>
  <c r="K80" i="1"/>
  <c r="J80" i="1"/>
  <c r="H80" i="1"/>
  <c r="F80" i="1"/>
  <c r="L104" i="1"/>
  <c r="K104" i="1"/>
  <c r="J104" i="1"/>
  <c r="H104" i="1"/>
  <c r="F104" i="1"/>
  <c r="L106" i="1"/>
  <c r="K106" i="1"/>
  <c r="J106" i="1"/>
  <c r="H106" i="1"/>
  <c r="F106" i="1"/>
  <c r="L107" i="1"/>
  <c r="K107" i="1"/>
  <c r="J107" i="1"/>
  <c r="H107" i="1"/>
  <c r="F107" i="1"/>
  <c r="L32" i="1"/>
  <c r="K32" i="1"/>
  <c r="J32" i="1"/>
  <c r="H32" i="1"/>
  <c r="F32" i="1"/>
  <c r="L210" i="1"/>
  <c r="L209" i="1"/>
  <c r="L208" i="1"/>
  <c r="K210" i="1"/>
  <c r="K209" i="1"/>
  <c r="K208" i="1"/>
  <c r="J210" i="1"/>
  <c r="J209" i="1"/>
  <c r="J208" i="1"/>
  <c r="H210" i="1"/>
  <c r="I210" i="1" s="1"/>
  <c r="H209" i="1"/>
  <c r="I209" i="1" s="1"/>
  <c r="H208" i="1"/>
  <c r="I208" i="1" s="1"/>
  <c r="F210" i="1"/>
  <c r="F209" i="1"/>
  <c r="F208" i="1"/>
  <c r="L112" i="1"/>
  <c r="K112" i="1"/>
  <c r="J112" i="1"/>
  <c r="H112" i="1"/>
  <c r="I112" i="1" s="1"/>
  <c r="F112" i="1"/>
  <c r="W220" i="1" l="1"/>
  <c r="V220" i="1"/>
  <c r="V219" i="1"/>
  <c r="W219" i="1"/>
  <c r="W236" i="1"/>
  <c r="V236" i="1"/>
  <c r="V296" i="1"/>
  <c r="W296" i="1"/>
  <c r="W294" i="1"/>
  <c r="V294" i="1"/>
  <c r="W206" i="1"/>
  <c r="V206" i="1"/>
  <c r="V204" i="1"/>
  <c r="W204" i="1"/>
  <c r="V301" i="1"/>
  <c r="W301" i="1"/>
  <c r="W210" i="1"/>
  <c r="V210" i="1"/>
  <c r="W217" i="1"/>
  <c r="V217" i="1"/>
  <c r="V218" i="1"/>
  <c r="W218" i="1"/>
  <c r="V235" i="1"/>
  <c r="W235" i="1"/>
  <c r="V246" i="1"/>
  <c r="W246" i="1"/>
  <c r="V132" i="1"/>
  <c r="W132" i="1"/>
  <c r="V285" i="1"/>
  <c r="W285" i="1"/>
  <c r="W281" i="1"/>
  <c r="V281" i="1"/>
  <c r="V295" i="1"/>
  <c r="W295" i="1"/>
  <c r="W202" i="1"/>
  <c r="V202" i="1"/>
  <c r="V205" i="1"/>
  <c r="W205" i="1"/>
  <c r="V112" i="1"/>
  <c r="W112" i="1"/>
  <c r="W232" i="1"/>
  <c r="V232" i="1"/>
  <c r="V238" i="1"/>
  <c r="W238" i="1"/>
  <c r="V208" i="1"/>
  <c r="W208" i="1"/>
  <c r="V216" i="1"/>
  <c r="W216" i="1"/>
  <c r="W222" i="1"/>
  <c r="V222" i="1"/>
  <c r="W234" i="1"/>
  <c r="V234" i="1"/>
  <c r="V233" i="1"/>
  <c r="W233" i="1"/>
  <c r="W237" i="1"/>
  <c r="V237" i="1"/>
  <c r="W209" i="1"/>
  <c r="V209" i="1"/>
  <c r="U301" i="1"/>
  <c r="O301" i="1"/>
  <c r="T301" i="1"/>
  <c r="S301" i="1"/>
  <c r="P301" i="1"/>
  <c r="N301" i="1"/>
  <c r="R301" i="1"/>
  <c r="Q301" i="1"/>
  <c r="V134" i="1" l="1"/>
  <c r="W134" i="1"/>
  <c r="L42" i="1"/>
  <c r="K42" i="1"/>
  <c r="J42" i="1"/>
  <c r="H42" i="1"/>
  <c r="I42" i="1" s="1"/>
  <c r="F42" i="1"/>
  <c r="V42" i="1" l="1"/>
  <c r="W42" i="1"/>
  <c r="F11" i="1" l="1"/>
  <c r="H11" i="1"/>
  <c r="I11" i="1" s="1"/>
  <c r="J11" i="1"/>
  <c r="K11" i="1"/>
  <c r="L11" i="1"/>
  <c r="F12" i="1"/>
  <c r="H12" i="1"/>
  <c r="I12" i="1" s="1"/>
  <c r="J12" i="1"/>
  <c r="K12" i="1"/>
  <c r="L12" i="1"/>
  <c r="F13" i="1"/>
  <c r="H13" i="1"/>
  <c r="I13" i="1" s="1"/>
  <c r="J13" i="1"/>
  <c r="K13" i="1"/>
  <c r="L13" i="1"/>
  <c r="H14" i="1"/>
  <c r="I14" i="1" s="1"/>
  <c r="J14" i="1"/>
  <c r="K14" i="1"/>
  <c r="L14" i="1"/>
  <c r="F15" i="1"/>
  <c r="H15" i="1"/>
  <c r="I15" i="1" s="1"/>
  <c r="J15" i="1"/>
  <c r="K15" i="1"/>
  <c r="L15" i="1"/>
  <c r="F16" i="1"/>
  <c r="H16" i="1"/>
  <c r="I16" i="1" s="1"/>
  <c r="J16" i="1"/>
  <c r="K16" i="1"/>
  <c r="L16" i="1"/>
  <c r="F17" i="1"/>
  <c r="H17" i="1"/>
  <c r="I17" i="1" s="1"/>
  <c r="J17" i="1"/>
  <c r="K17" i="1"/>
  <c r="L17" i="1"/>
  <c r="F18" i="1"/>
  <c r="H18" i="1"/>
  <c r="I18" i="1" s="1"/>
  <c r="J18" i="1"/>
  <c r="K18" i="1"/>
  <c r="L18" i="1"/>
  <c r="F19" i="1"/>
  <c r="H19" i="1"/>
  <c r="I19" i="1" s="1"/>
  <c r="J19" i="1"/>
  <c r="K19" i="1"/>
  <c r="L19" i="1"/>
  <c r="F20" i="1"/>
  <c r="H20" i="1"/>
  <c r="I20" i="1" s="1"/>
  <c r="J20" i="1"/>
  <c r="K20" i="1"/>
  <c r="L20" i="1"/>
  <c r="F21" i="1"/>
  <c r="H21" i="1"/>
  <c r="I21" i="1" s="1"/>
  <c r="J21" i="1"/>
  <c r="K21" i="1"/>
  <c r="L21" i="1"/>
  <c r="F22" i="1"/>
  <c r="H22" i="1"/>
  <c r="I22" i="1" s="1"/>
  <c r="J22" i="1"/>
  <c r="K22" i="1"/>
  <c r="L22" i="1"/>
  <c r="F24" i="1"/>
  <c r="H24" i="1"/>
  <c r="I24" i="1" s="1"/>
  <c r="K24" i="1"/>
  <c r="L24" i="1"/>
  <c r="F25" i="1"/>
  <c r="H25" i="1"/>
  <c r="I25" i="1" s="1"/>
  <c r="J25" i="1"/>
  <c r="K25" i="1"/>
  <c r="L25" i="1"/>
  <c r="F26" i="1"/>
  <c r="H26" i="1"/>
  <c r="I26" i="1" s="1"/>
  <c r="J26" i="1"/>
  <c r="K26" i="1"/>
  <c r="L26" i="1"/>
  <c r="F28" i="1"/>
  <c r="H28" i="1"/>
  <c r="I28" i="1" s="1"/>
  <c r="J28" i="1"/>
  <c r="K28" i="1"/>
  <c r="L28" i="1"/>
  <c r="F29" i="1"/>
  <c r="H29" i="1"/>
  <c r="I29" i="1" s="1"/>
  <c r="J29" i="1"/>
  <c r="K29" i="1"/>
  <c r="L29" i="1"/>
  <c r="F30" i="1"/>
  <c r="H30" i="1"/>
  <c r="I30" i="1" s="1"/>
  <c r="K30" i="1"/>
  <c r="L30" i="1"/>
  <c r="I32" i="1"/>
  <c r="F33" i="1"/>
  <c r="H33" i="1"/>
  <c r="I33" i="1" s="1"/>
  <c r="J33" i="1"/>
  <c r="K33" i="1"/>
  <c r="L33" i="1"/>
  <c r="F34" i="1"/>
  <c r="H34" i="1"/>
  <c r="I34" i="1" s="1"/>
  <c r="J34" i="1"/>
  <c r="K34" i="1"/>
  <c r="L34" i="1"/>
  <c r="N35" i="1"/>
  <c r="O35" i="1"/>
  <c r="P35" i="1"/>
  <c r="Q35" i="1"/>
  <c r="R35" i="1"/>
  <c r="S35" i="1"/>
  <c r="T35" i="1"/>
  <c r="U35" i="1"/>
  <c r="F37" i="1"/>
  <c r="H37" i="1"/>
  <c r="I37" i="1" s="1"/>
  <c r="J37" i="1"/>
  <c r="K37" i="1"/>
  <c r="L37" i="1"/>
  <c r="F39" i="1"/>
  <c r="H39" i="1"/>
  <c r="I39" i="1" s="1"/>
  <c r="J39" i="1"/>
  <c r="K39" i="1"/>
  <c r="L39" i="1"/>
  <c r="F40" i="1"/>
  <c r="H40" i="1"/>
  <c r="I40" i="1" s="1"/>
  <c r="J40" i="1"/>
  <c r="K40" i="1"/>
  <c r="L40" i="1"/>
  <c r="F41" i="1"/>
  <c r="H41" i="1"/>
  <c r="I41" i="1" s="1"/>
  <c r="J41" i="1"/>
  <c r="K41" i="1"/>
  <c r="L41" i="1"/>
  <c r="N42" i="1"/>
  <c r="O42" i="1"/>
  <c r="P42" i="1"/>
  <c r="Q42" i="1"/>
  <c r="R42" i="1"/>
  <c r="S42" i="1"/>
  <c r="T42" i="1"/>
  <c r="U42" i="1"/>
  <c r="F43" i="1"/>
  <c r="H43" i="1"/>
  <c r="I43" i="1" s="1"/>
  <c r="J43" i="1"/>
  <c r="K43" i="1"/>
  <c r="L43" i="1"/>
  <c r="F44" i="1"/>
  <c r="H44" i="1"/>
  <c r="I44" i="1" s="1"/>
  <c r="J44" i="1"/>
  <c r="K44" i="1"/>
  <c r="L44" i="1"/>
  <c r="F45" i="1"/>
  <c r="H45" i="1"/>
  <c r="I45" i="1" s="1"/>
  <c r="J45" i="1"/>
  <c r="K45" i="1"/>
  <c r="L45" i="1"/>
  <c r="F46" i="1"/>
  <c r="H46" i="1"/>
  <c r="I46" i="1" s="1"/>
  <c r="J46" i="1"/>
  <c r="K46" i="1"/>
  <c r="L46" i="1"/>
  <c r="F47" i="1"/>
  <c r="H47" i="1"/>
  <c r="I47" i="1" s="1"/>
  <c r="J47" i="1"/>
  <c r="K47" i="1"/>
  <c r="L47" i="1"/>
  <c r="F48" i="1"/>
  <c r="H48" i="1"/>
  <c r="I48" i="1" s="1"/>
  <c r="J48" i="1"/>
  <c r="K48" i="1"/>
  <c r="L48" i="1"/>
  <c r="F49" i="1"/>
  <c r="H49" i="1"/>
  <c r="I49" i="1" s="1"/>
  <c r="J49" i="1"/>
  <c r="K49" i="1"/>
  <c r="L49" i="1"/>
  <c r="F50" i="1"/>
  <c r="H50" i="1"/>
  <c r="I50" i="1" s="1"/>
  <c r="J50" i="1"/>
  <c r="K50" i="1"/>
  <c r="L50" i="1"/>
  <c r="F53" i="1"/>
  <c r="H53" i="1"/>
  <c r="I53" i="1" s="1"/>
  <c r="J53" i="1"/>
  <c r="K53" i="1"/>
  <c r="L53" i="1"/>
  <c r="F54" i="1"/>
  <c r="H54" i="1"/>
  <c r="I54" i="1" s="1"/>
  <c r="J54" i="1"/>
  <c r="K54" i="1"/>
  <c r="L54" i="1"/>
  <c r="F55" i="1"/>
  <c r="H55" i="1"/>
  <c r="I55" i="1" s="1"/>
  <c r="J55" i="1"/>
  <c r="K55" i="1"/>
  <c r="L55" i="1"/>
  <c r="F56" i="1"/>
  <c r="H56" i="1"/>
  <c r="I56" i="1" s="1"/>
  <c r="J56" i="1"/>
  <c r="K56" i="1"/>
  <c r="L56" i="1"/>
  <c r="F57" i="1"/>
  <c r="H57" i="1"/>
  <c r="I57" i="1" s="1"/>
  <c r="J57" i="1"/>
  <c r="K57" i="1"/>
  <c r="L57" i="1"/>
  <c r="I58" i="1"/>
  <c r="F59" i="1"/>
  <c r="H59" i="1"/>
  <c r="I59" i="1" s="1"/>
  <c r="J59" i="1"/>
  <c r="K59" i="1"/>
  <c r="L59" i="1"/>
  <c r="F60" i="1"/>
  <c r="H60" i="1"/>
  <c r="I60" i="1" s="1"/>
  <c r="J60" i="1"/>
  <c r="K60" i="1"/>
  <c r="L60" i="1"/>
  <c r="F61" i="1"/>
  <c r="H61" i="1"/>
  <c r="I61" i="1" s="1"/>
  <c r="J61" i="1"/>
  <c r="K61" i="1"/>
  <c r="L61" i="1"/>
  <c r="F62" i="1"/>
  <c r="H62" i="1"/>
  <c r="I62" i="1" s="1"/>
  <c r="J62" i="1"/>
  <c r="K62" i="1"/>
  <c r="L62" i="1"/>
  <c r="F63" i="1"/>
  <c r="H63" i="1"/>
  <c r="I63" i="1" s="1"/>
  <c r="J63" i="1"/>
  <c r="K63" i="1"/>
  <c r="L63" i="1"/>
  <c r="F64" i="1"/>
  <c r="H64" i="1"/>
  <c r="I64" i="1" s="1"/>
  <c r="J64" i="1"/>
  <c r="K64" i="1"/>
  <c r="L64" i="1"/>
  <c r="F65" i="1"/>
  <c r="H65" i="1"/>
  <c r="I65" i="1" s="1"/>
  <c r="J65" i="1"/>
  <c r="K65" i="1"/>
  <c r="L65" i="1"/>
  <c r="F66" i="1"/>
  <c r="H66" i="1"/>
  <c r="I66" i="1" s="1"/>
  <c r="J66" i="1"/>
  <c r="K66" i="1"/>
  <c r="L66" i="1"/>
  <c r="N67" i="1"/>
  <c r="O67" i="1"/>
  <c r="P67" i="1"/>
  <c r="Q67" i="1"/>
  <c r="R67" i="1"/>
  <c r="S67" i="1"/>
  <c r="T67" i="1"/>
  <c r="U67" i="1"/>
  <c r="N68" i="1"/>
  <c r="O68" i="1"/>
  <c r="P68" i="1"/>
  <c r="Q68" i="1"/>
  <c r="R68" i="1"/>
  <c r="S68" i="1"/>
  <c r="T68" i="1"/>
  <c r="U68" i="1"/>
  <c r="N69" i="1"/>
  <c r="O69" i="1"/>
  <c r="P69" i="1"/>
  <c r="Q69" i="1"/>
  <c r="R69" i="1"/>
  <c r="S69" i="1"/>
  <c r="T69" i="1"/>
  <c r="U69" i="1"/>
  <c r="N70" i="1"/>
  <c r="O70" i="1"/>
  <c r="P70" i="1"/>
  <c r="Q70" i="1"/>
  <c r="R70" i="1"/>
  <c r="S70" i="1"/>
  <c r="T70" i="1"/>
  <c r="U70" i="1"/>
  <c r="F71" i="1"/>
  <c r="H71" i="1"/>
  <c r="I71" i="1" s="1"/>
  <c r="J71" i="1"/>
  <c r="K71" i="1"/>
  <c r="L71" i="1"/>
  <c r="F72" i="1"/>
  <c r="H72" i="1"/>
  <c r="I72" i="1" s="1"/>
  <c r="J72" i="1"/>
  <c r="K72" i="1"/>
  <c r="L72" i="1"/>
  <c r="F73" i="1"/>
  <c r="H73" i="1"/>
  <c r="I73" i="1" s="1"/>
  <c r="J73" i="1"/>
  <c r="K73" i="1"/>
  <c r="L73" i="1"/>
  <c r="I80" i="1"/>
  <c r="N81" i="1"/>
  <c r="O81" i="1"/>
  <c r="P81" i="1"/>
  <c r="Q81" i="1"/>
  <c r="R81" i="1"/>
  <c r="S81" i="1"/>
  <c r="T81" i="1"/>
  <c r="U81" i="1"/>
  <c r="F82" i="1"/>
  <c r="H82" i="1"/>
  <c r="I82" i="1" s="1"/>
  <c r="J82" i="1"/>
  <c r="K82" i="1"/>
  <c r="L82" i="1"/>
  <c r="F83" i="1"/>
  <c r="H83" i="1"/>
  <c r="I83" i="1" s="1"/>
  <c r="J83" i="1"/>
  <c r="K83" i="1"/>
  <c r="L83" i="1"/>
  <c r="F84" i="1"/>
  <c r="H84" i="1"/>
  <c r="I84" i="1" s="1"/>
  <c r="J84" i="1"/>
  <c r="K84" i="1"/>
  <c r="L84" i="1"/>
  <c r="F86" i="1"/>
  <c r="H86" i="1"/>
  <c r="I86" i="1" s="1"/>
  <c r="J86" i="1"/>
  <c r="K86" i="1"/>
  <c r="L86" i="1"/>
  <c r="N88" i="1"/>
  <c r="O88" i="1"/>
  <c r="P88" i="1"/>
  <c r="Q88" i="1"/>
  <c r="R88" i="1"/>
  <c r="S88" i="1"/>
  <c r="T88" i="1"/>
  <c r="U88" i="1"/>
  <c r="N89" i="1"/>
  <c r="O89" i="1"/>
  <c r="P89" i="1"/>
  <c r="Q89" i="1"/>
  <c r="R89" i="1"/>
  <c r="S89" i="1"/>
  <c r="T89" i="1"/>
  <c r="U89" i="1"/>
  <c r="N90" i="1"/>
  <c r="O90" i="1"/>
  <c r="P90" i="1"/>
  <c r="Q90" i="1"/>
  <c r="R90" i="1"/>
  <c r="S90" i="1"/>
  <c r="T90" i="1"/>
  <c r="U90" i="1"/>
  <c r="N91" i="1"/>
  <c r="O91" i="1"/>
  <c r="P91" i="1"/>
  <c r="Q91" i="1"/>
  <c r="R91" i="1"/>
  <c r="S91" i="1"/>
  <c r="T91" i="1"/>
  <c r="U91" i="1"/>
  <c r="F94" i="1"/>
  <c r="H94" i="1"/>
  <c r="I94" i="1" s="1"/>
  <c r="J94" i="1"/>
  <c r="K94" i="1"/>
  <c r="L94" i="1"/>
  <c r="F95" i="1"/>
  <c r="H95" i="1"/>
  <c r="I95" i="1" s="1"/>
  <c r="J95" i="1"/>
  <c r="K95" i="1"/>
  <c r="L95" i="1"/>
  <c r="F96" i="1"/>
  <c r="H96" i="1"/>
  <c r="I96" i="1" s="1"/>
  <c r="J96" i="1"/>
  <c r="K96" i="1"/>
  <c r="L96" i="1"/>
  <c r="N97" i="1"/>
  <c r="O97" i="1"/>
  <c r="P97" i="1"/>
  <c r="Q97" i="1"/>
  <c r="R97" i="1"/>
  <c r="S97" i="1"/>
  <c r="T97" i="1"/>
  <c r="U97" i="1"/>
  <c r="F98" i="1"/>
  <c r="H98" i="1"/>
  <c r="I98" i="1" s="1"/>
  <c r="J98" i="1"/>
  <c r="K98" i="1"/>
  <c r="L98" i="1"/>
  <c r="N101" i="1"/>
  <c r="O101" i="1"/>
  <c r="P101" i="1"/>
  <c r="Q101" i="1"/>
  <c r="R101" i="1"/>
  <c r="S101" i="1"/>
  <c r="T101" i="1"/>
  <c r="U101" i="1"/>
  <c r="N102" i="1"/>
  <c r="O102" i="1"/>
  <c r="P102" i="1"/>
  <c r="Q102" i="1"/>
  <c r="R102" i="1"/>
  <c r="S102" i="1"/>
  <c r="T102" i="1"/>
  <c r="U102" i="1"/>
  <c r="F103" i="1"/>
  <c r="H103" i="1"/>
  <c r="I103" i="1" s="1"/>
  <c r="J103" i="1"/>
  <c r="K103" i="1"/>
  <c r="L103" i="1"/>
  <c r="I104" i="1"/>
  <c r="F105" i="1"/>
  <c r="H105" i="1"/>
  <c r="I105" i="1" s="1"/>
  <c r="J105" i="1"/>
  <c r="K105" i="1"/>
  <c r="L105" i="1"/>
  <c r="I106" i="1"/>
  <c r="I107" i="1"/>
  <c r="F108" i="1"/>
  <c r="H108" i="1"/>
  <c r="I108" i="1" s="1"/>
  <c r="J108" i="1"/>
  <c r="K108" i="1"/>
  <c r="L108" i="1"/>
  <c r="F109" i="1"/>
  <c r="H109" i="1"/>
  <c r="I109" i="1" s="1"/>
  <c r="J109" i="1"/>
  <c r="K109" i="1"/>
  <c r="L109" i="1"/>
  <c r="F110" i="1"/>
  <c r="H110" i="1"/>
  <c r="I110" i="1" s="1"/>
  <c r="J110" i="1"/>
  <c r="K110" i="1"/>
  <c r="L110" i="1"/>
  <c r="F111" i="1"/>
  <c r="H111" i="1"/>
  <c r="I111" i="1" s="1"/>
  <c r="J111" i="1"/>
  <c r="K111" i="1"/>
  <c r="L111" i="1"/>
  <c r="N112" i="1"/>
  <c r="O112" i="1"/>
  <c r="P112" i="1"/>
  <c r="Q112" i="1"/>
  <c r="R112" i="1"/>
  <c r="S112" i="1"/>
  <c r="T112" i="1"/>
  <c r="U112" i="1"/>
  <c r="N113" i="1"/>
  <c r="O113" i="1"/>
  <c r="P113" i="1"/>
  <c r="Q113" i="1"/>
  <c r="R113" i="1"/>
  <c r="S113" i="1"/>
  <c r="T113" i="1"/>
  <c r="U113" i="1"/>
  <c r="N114" i="1"/>
  <c r="O114" i="1"/>
  <c r="P114" i="1"/>
  <c r="Q114" i="1"/>
  <c r="R114" i="1"/>
  <c r="S114" i="1"/>
  <c r="T114" i="1"/>
  <c r="U114" i="1"/>
  <c r="N115" i="1"/>
  <c r="O115" i="1"/>
  <c r="P115" i="1"/>
  <c r="Q115" i="1"/>
  <c r="R115" i="1"/>
  <c r="S115" i="1"/>
  <c r="T115" i="1"/>
  <c r="U115" i="1"/>
  <c r="N116" i="1"/>
  <c r="O116" i="1"/>
  <c r="P116" i="1"/>
  <c r="Q116" i="1"/>
  <c r="R116" i="1"/>
  <c r="S116" i="1"/>
  <c r="T116" i="1"/>
  <c r="U116" i="1"/>
  <c r="N117" i="1"/>
  <c r="O117" i="1"/>
  <c r="P117" i="1"/>
  <c r="Q117" i="1"/>
  <c r="R117" i="1"/>
  <c r="S117" i="1"/>
  <c r="T117" i="1"/>
  <c r="U117" i="1"/>
  <c r="N118" i="1"/>
  <c r="O118" i="1"/>
  <c r="P118" i="1"/>
  <c r="Q118" i="1"/>
  <c r="R118" i="1"/>
  <c r="S118" i="1"/>
  <c r="T118" i="1"/>
  <c r="U118" i="1"/>
  <c r="N119" i="1"/>
  <c r="O119" i="1"/>
  <c r="P119" i="1"/>
  <c r="Q119" i="1"/>
  <c r="R119" i="1"/>
  <c r="S119" i="1"/>
  <c r="T119" i="1"/>
  <c r="U119" i="1"/>
  <c r="N120" i="1"/>
  <c r="O120" i="1"/>
  <c r="P120" i="1"/>
  <c r="Q120" i="1"/>
  <c r="R120" i="1"/>
  <c r="S120" i="1"/>
  <c r="T120" i="1"/>
  <c r="U120" i="1"/>
  <c r="N121" i="1"/>
  <c r="O121" i="1"/>
  <c r="P121" i="1"/>
  <c r="Q121" i="1"/>
  <c r="R121" i="1"/>
  <c r="S121" i="1"/>
  <c r="T121" i="1"/>
  <c r="U121" i="1"/>
  <c r="N125" i="1"/>
  <c r="O125" i="1"/>
  <c r="P125" i="1"/>
  <c r="Q125" i="1"/>
  <c r="R125" i="1"/>
  <c r="S125" i="1"/>
  <c r="T125" i="1"/>
  <c r="U125" i="1"/>
  <c r="N128" i="1"/>
  <c r="O128" i="1"/>
  <c r="P128" i="1"/>
  <c r="Q128" i="1"/>
  <c r="R128" i="1"/>
  <c r="S128" i="1"/>
  <c r="T128" i="1"/>
  <c r="U128" i="1"/>
  <c r="N129" i="1"/>
  <c r="O129" i="1"/>
  <c r="P129" i="1"/>
  <c r="Q129" i="1"/>
  <c r="R129" i="1"/>
  <c r="S129" i="1"/>
  <c r="T129" i="1"/>
  <c r="U129" i="1"/>
  <c r="N130" i="1"/>
  <c r="O130" i="1"/>
  <c r="P130" i="1"/>
  <c r="Q130" i="1"/>
  <c r="R130" i="1"/>
  <c r="S130" i="1"/>
  <c r="T130" i="1"/>
  <c r="U130" i="1"/>
  <c r="N131" i="1"/>
  <c r="O131" i="1"/>
  <c r="P131" i="1"/>
  <c r="Q131" i="1"/>
  <c r="R131" i="1"/>
  <c r="S131" i="1"/>
  <c r="T131" i="1"/>
  <c r="U131" i="1"/>
  <c r="N132" i="1"/>
  <c r="O132" i="1"/>
  <c r="P132" i="1"/>
  <c r="Q132" i="1"/>
  <c r="R132" i="1"/>
  <c r="S132" i="1"/>
  <c r="T132" i="1"/>
  <c r="U132" i="1"/>
  <c r="N134" i="1"/>
  <c r="O134" i="1"/>
  <c r="P134" i="1"/>
  <c r="Q134" i="1"/>
  <c r="R134" i="1"/>
  <c r="S134" i="1"/>
  <c r="T134" i="1"/>
  <c r="U134" i="1"/>
  <c r="F137" i="1"/>
  <c r="H137" i="1"/>
  <c r="I137" i="1" s="1"/>
  <c r="J137" i="1"/>
  <c r="K137" i="1"/>
  <c r="L137" i="1"/>
  <c r="F138" i="1"/>
  <c r="H138" i="1"/>
  <c r="I138" i="1" s="1"/>
  <c r="J138" i="1"/>
  <c r="K138" i="1"/>
  <c r="L138" i="1"/>
  <c r="F139" i="1"/>
  <c r="H139" i="1"/>
  <c r="I139" i="1" s="1"/>
  <c r="J139" i="1"/>
  <c r="K139" i="1"/>
  <c r="L139" i="1"/>
  <c r="N140" i="1"/>
  <c r="O140" i="1"/>
  <c r="P140" i="1"/>
  <c r="Q140" i="1"/>
  <c r="R140" i="1"/>
  <c r="S140" i="1"/>
  <c r="T140" i="1"/>
  <c r="U140" i="1"/>
  <c r="N142" i="1"/>
  <c r="O142" i="1"/>
  <c r="P142" i="1"/>
  <c r="Q142" i="1"/>
  <c r="R142" i="1"/>
  <c r="S142" i="1"/>
  <c r="T142" i="1"/>
  <c r="U142" i="1"/>
  <c r="N143" i="1"/>
  <c r="O143" i="1"/>
  <c r="P143" i="1"/>
  <c r="Q143" i="1"/>
  <c r="R143" i="1"/>
  <c r="S143" i="1"/>
  <c r="T143" i="1"/>
  <c r="U143" i="1"/>
  <c r="N144" i="1"/>
  <c r="O144" i="1"/>
  <c r="P144" i="1"/>
  <c r="Q144" i="1"/>
  <c r="R144" i="1"/>
  <c r="S144" i="1"/>
  <c r="T144" i="1"/>
  <c r="U144" i="1"/>
  <c r="N145" i="1"/>
  <c r="O145" i="1"/>
  <c r="P145" i="1"/>
  <c r="Q145" i="1"/>
  <c r="R145" i="1"/>
  <c r="S145" i="1"/>
  <c r="T145" i="1"/>
  <c r="U145" i="1"/>
  <c r="N146" i="1"/>
  <c r="O146" i="1"/>
  <c r="P146" i="1"/>
  <c r="Q146" i="1"/>
  <c r="R146" i="1"/>
  <c r="S146" i="1"/>
  <c r="T146" i="1"/>
  <c r="U146" i="1"/>
  <c r="N147" i="1"/>
  <c r="O147" i="1"/>
  <c r="P147" i="1"/>
  <c r="Q147" i="1"/>
  <c r="R147" i="1"/>
  <c r="S147" i="1"/>
  <c r="T147" i="1"/>
  <c r="U147" i="1"/>
  <c r="N148" i="1"/>
  <c r="O148" i="1"/>
  <c r="P148" i="1"/>
  <c r="Q148" i="1"/>
  <c r="R148" i="1"/>
  <c r="S148" i="1"/>
  <c r="T148" i="1"/>
  <c r="U148" i="1"/>
  <c r="N149" i="1"/>
  <c r="O149" i="1"/>
  <c r="P149" i="1"/>
  <c r="Q149" i="1"/>
  <c r="R149" i="1"/>
  <c r="S149" i="1"/>
  <c r="T149" i="1"/>
  <c r="U149" i="1"/>
  <c r="F150" i="1"/>
  <c r="H150" i="1"/>
  <c r="I150" i="1" s="1"/>
  <c r="J150" i="1"/>
  <c r="K150" i="1"/>
  <c r="L150" i="1"/>
  <c r="F151" i="1"/>
  <c r="H151" i="1"/>
  <c r="I151" i="1" s="1"/>
  <c r="J151" i="1"/>
  <c r="K151" i="1"/>
  <c r="L151" i="1"/>
  <c r="F152" i="1"/>
  <c r="H152" i="1"/>
  <c r="I152" i="1" s="1"/>
  <c r="J152" i="1"/>
  <c r="K152" i="1"/>
  <c r="L152" i="1"/>
  <c r="F153" i="1"/>
  <c r="H153" i="1"/>
  <c r="I153" i="1" s="1"/>
  <c r="J153" i="1"/>
  <c r="K153" i="1"/>
  <c r="L153" i="1"/>
  <c r="F154" i="1"/>
  <c r="H154" i="1"/>
  <c r="I154" i="1" s="1"/>
  <c r="J154" i="1"/>
  <c r="K154" i="1"/>
  <c r="L154" i="1"/>
  <c r="F155" i="1"/>
  <c r="H155" i="1"/>
  <c r="I155" i="1" s="1"/>
  <c r="J155" i="1"/>
  <c r="K155" i="1"/>
  <c r="L155" i="1"/>
  <c r="F156" i="1"/>
  <c r="H156" i="1"/>
  <c r="I156" i="1" s="1"/>
  <c r="J156" i="1"/>
  <c r="K156" i="1"/>
  <c r="L156" i="1"/>
  <c r="F157" i="1"/>
  <c r="H157" i="1"/>
  <c r="I157" i="1" s="1"/>
  <c r="J157" i="1"/>
  <c r="K157" i="1"/>
  <c r="L157" i="1"/>
  <c r="F158" i="1"/>
  <c r="H158" i="1"/>
  <c r="I158" i="1" s="1"/>
  <c r="J158" i="1"/>
  <c r="K158" i="1"/>
  <c r="L158" i="1"/>
  <c r="F159" i="1"/>
  <c r="H159" i="1"/>
  <c r="I159" i="1" s="1"/>
  <c r="J159" i="1"/>
  <c r="K159" i="1"/>
  <c r="L159" i="1"/>
  <c r="F160" i="1"/>
  <c r="H160" i="1"/>
  <c r="I160" i="1" s="1"/>
  <c r="J160" i="1"/>
  <c r="K160" i="1"/>
  <c r="L160" i="1"/>
  <c r="F161" i="1"/>
  <c r="H161" i="1"/>
  <c r="I161" i="1" s="1"/>
  <c r="J161" i="1"/>
  <c r="K161" i="1"/>
  <c r="L161" i="1"/>
  <c r="F162" i="1"/>
  <c r="H162" i="1"/>
  <c r="I162" i="1" s="1"/>
  <c r="J162" i="1"/>
  <c r="K162" i="1"/>
  <c r="L162" i="1"/>
  <c r="F163" i="1"/>
  <c r="H163" i="1"/>
  <c r="I163" i="1" s="1"/>
  <c r="J163" i="1"/>
  <c r="K163" i="1"/>
  <c r="L163" i="1"/>
  <c r="F164" i="1"/>
  <c r="H164" i="1"/>
  <c r="I164" i="1" s="1"/>
  <c r="J164" i="1"/>
  <c r="K164" i="1"/>
  <c r="L164" i="1"/>
  <c r="F165" i="1"/>
  <c r="H165" i="1"/>
  <c r="I165" i="1" s="1"/>
  <c r="J165" i="1"/>
  <c r="K165" i="1"/>
  <c r="L165" i="1"/>
  <c r="F166" i="1"/>
  <c r="H166" i="1"/>
  <c r="I166" i="1" s="1"/>
  <c r="J166" i="1"/>
  <c r="K166" i="1"/>
  <c r="L166" i="1"/>
  <c r="F167" i="1"/>
  <c r="H167" i="1"/>
  <c r="I167" i="1" s="1"/>
  <c r="J167" i="1"/>
  <c r="K167" i="1"/>
  <c r="L167" i="1"/>
  <c r="F168" i="1"/>
  <c r="H168" i="1"/>
  <c r="I168" i="1" s="1"/>
  <c r="J168" i="1"/>
  <c r="K168" i="1"/>
  <c r="L168" i="1"/>
  <c r="F169" i="1"/>
  <c r="H169" i="1"/>
  <c r="I169" i="1" s="1"/>
  <c r="J169" i="1"/>
  <c r="K169" i="1"/>
  <c r="L169" i="1"/>
  <c r="N170" i="1"/>
  <c r="O170" i="1"/>
  <c r="P170" i="1"/>
  <c r="Q170" i="1"/>
  <c r="R170" i="1"/>
  <c r="S170" i="1"/>
  <c r="T170" i="1"/>
  <c r="U170" i="1"/>
  <c r="F171" i="1"/>
  <c r="H171" i="1"/>
  <c r="I171" i="1" s="1"/>
  <c r="J171" i="1"/>
  <c r="K171" i="1"/>
  <c r="L171" i="1"/>
  <c r="F172" i="1"/>
  <c r="H172" i="1"/>
  <c r="I172" i="1" s="1"/>
  <c r="J172" i="1"/>
  <c r="K172" i="1"/>
  <c r="L172" i="1"/>
  <c r="F173" i="1"/>
  <c r="H173" i="1"/>
  <c r="I173" i="1" s="1"/>
  <c r="J173" i="1"/>
  <c r="K173" i="1"/>
  <c r="L173" i="1"/>
  <c r="F174" i="1"/>
  <c r="H174" i="1"/>
  <c r="I174" i="1" s="1"/>
  <c r="J174" i="1"/>
  <c r="K174" i="1"/>
  <c r="L174" i="1"/>
  <c r="F175" i="1"/>
  <c r="H175" i="1"/>
  <c r="I175" i="1" s="1"/>
  <c r="J175" i="1"/>
  <c r="K175" i="1"/>
  <c r="L175" i="1"/>
  <c r="F176" i="1"/>
  <c r="H176" i="1"/>
  <c r="I176" i="1" s="1"/>
  <c r="J176" i="1"/>
  <c r="K176" i="1"/>
  <c r="L176" i="1"/>
  <c r="N179" i="1"/>
  <c r="O179" i="1"/>
  <c r="P179" i="1"/>
  <c r="Q179" i="1"/>
  <c r="R179" i="1"/>
  <c r="S179" i="1"/>
  <c r="T179" i="1"/>
  <c r="U179" i="1"/>
  <c r="F180" i="1"/>
  <c r="H180" i="1"/>
  <c r="I180" i="1" s="1"/>
  <c r="J180" i="1"/>
  <c r="K180" i="1"/>
  <c r="L180" i="1"/>
  <c r="F181" i="1"/>
  <c r="H181" i="1"/>
  <c r="I181" i="1" s="1"/>
  <c r="J181" i="1"/>
  <c r="K181" i="1"/>
  <c r="L181" i="1"/>
  <c r="F182" i="1"/>
  <c r="H182" i="1"/>
  <c r="I182" i="1" s="1"/>
  <c r="J182" i="1"/>
  <c r="K182" i="1"/>
  <c r="L182" i="1"/>
  <c r="F183" i="1"/>
  <c r="H183" i="1"/>
  <c r="I183" i="1" s="1"/>
  <c r="J183" i="1"/>
  <c r="K183" i="1"/>
  <c r="L183" i="1"/>
  <c r="F184" i="1"/>
  <c r="H184" i="1"/>
  <c r="I184" i="1" s="1"/>
  <c r="J184" i="1"/>
  <c r="K184" i="1"/>
  <c r="L184" i="1"/>
  <c r="F185" i="1"/>
  <c r="H185" i="1"/>
  <c r="I185" i="1" s="1"/>
  <c r="J185" i="1"/>
  <c r="K185" i="1"/>
  <c r="L185" i="1"/>
  <c r="F186" i="1"/>
  <c r="H186" i="1"/>
  <c r="I186" i="1" s="1"/>
  <c r="J186" i="1"/>
  <c r="K186" i="1"/>
  <c r="L186" i="1"/>
  <c r="N187" i="1"/>
  <c r="O187" i="1"/>
  <c r="P187" i="1"/>
  <c r="Q187" i="1"/>
  <c r="R187" i="1"/>
  <c r="S187" i="1"/>
  <c r="T187" i="1"/>
  <c r="U187" i="1"/>
  <c r="F188" i="1"/>
  <c r="H188" i="1"/>
  <c r="I188" i="1" s="1"/>
  <c r="J188" i="1"/>
  <c r="K188" i="1"/>
  <c r="L188" i="1"/>
  <c r="F189" i="1"/>
  <c r="H189" i="1"/>
  <c r="I189" i="1" s="1"/>
  <c r="J189" i="1"/>
  <c r="K189" i="1"/>
  <c r="L189" i="1"/>
  <c r="F190" i="1"/>
  <c r="H190" i="1"/>
  <c r="I190" i="1" s="1"/>
  <c r="J190" i="1"/>
  <c r="K190" i="1"/>
  <c r="L190" i="1"/>
  <c r="F191" i="1"/>
  <c r="H191" i="1"/>
  <c r="I191" i="1" s="1"/>
  <c r="J191" i="1"/>
  <c r="K191" i="1"/>
  <c r="L191" i="1"/>
  <c r="F192" i="1"/>
  <c r="H192" i="1"/>
  <c r="I192" i="1" s="1"/>
  <c r="J192" i="1"/>
  <c r="K192" i="1"/>
  <c r="L192" i="1"/>
  <c r="F193" i="1"/>
  <c r="H193" i="1"/>
  <c r="I193" i="1" s="1"/>
  <c r="J193" i="1"/>
  <c r="K193" i="1"/>
  <c r="L193" i="1"/>
  <c r="F194" i="1"/>
  <c r="H194" i="1"/>
  <c r="I194" i="1" s="1"/>
  <c r="J194" i="1"/>
  <c r="K194" i="1"/>
  <c r="L194" i="1"/>
  <c r="H195" i="1"/>
  <c r="I195" i="1" s="1"/>
  <c r="J195" i="1"/>
  <c r="K195" i="1"/>
  <c r="L195" i="1"/>
  <c r="F196" i="1"/>
  <c r="H196" i="1"/>
  <c r="I196" i="1" s="1"/>
  <c r="J196" i="1"/>
  <c r="K196" i="1"/>
  <c r="L196" i="1"/>
  <c r="N197" i="1"/>
  <c r="O197" i="1"/>
  <c r="P197" i="1"/>
  <c r="Q197" i="1"/>
  <c r="R197" i="1"/>
  <c r="S197" i="1"/>
  <c r="T197" i="1"/>
  <c r="U197" i="1"/>
  <c r="N198" i="1"/>
  <c r="O198" i="1"/>
  <c r="P198" i="1"/>
  <c r="Q198" i="1"/>
  <c r="R198" i="1"/>
  <c r="S198" i="1"/>
  <c r="T198" i="1"/>
  <c r="U198" i="1"/>
  <c r="N199" i="1"/>
  <c r="O199" i="1"/>
  <c r="P199" i="1"/>
  <c r="Q199" i="1"/>
  <c r="R199" i="1"/>
  <c r="S199" i="1"/>
  <c r="T199" i="1"/>
  <c r="U199" i="1"/>
  <c r="N200" i="1"/>
  <c r="O200" i="1"/>
  <c r="P200" i="1"/>
  <c r="Q200" i="1"/>
  <c r="R200" i="1"/>
  <c r="S200" i="1"/>
  <c r="T200" i="1"/>
  <c r="U200" i="1"/>
  <c r="N201" i="1"/>
  <c r="O201" i="1"/>
  <c r="P201" i="1"/>
  <c r="Q201" i="1"/>
  <c r="R201" i="1"/>
  <c r="S201" i="1"/>
  <c r="T201" i="1"/>
  <c r="U201" i="1"/>
  <c r="N202" i="1"/>
  <c r="O202" i="1"/>
  <c r="P202" i="1"/>
  <c r="Q202" i="1"/>
  <c r="R202" i="1"/>
  <c r="S202" i="1"/>
  <c r="T202" i="1"/>
  <c r="U202" i="1"/>
  <c r="N203" i="1"/>
  <c r="O203" i="1"/>
  <c r="P203" i="1"/>
  <c r="Q203" i="1"/>
  <c r="R203" i="1"/>
  <c r="S203" i="1"/>
  <c r="T203" i="1"/>
  <c r="U203" i="1"/>
  <c r="N204" i="1"/>
  <c r="O204" i="1"/>
  <c r="P204" i="1"/>
  <c r="Q204" i="1"/>
  <c r="R204" i="1"/>
  <c r="S204" i="1"/>
  <c r="T204" i="1"/>
  <c r="U204" i="1"/>
  <c r="N205" i="1"/>
  <c r="O205" i="1"/>
  <c r="P205" i="1"/>
  <c r="Q205" i="1"/>
  <c r="R205" i="1"/>
  <c r="S205" i="1"/>
  <c r="T205" i="1"/>
  <c r="U205" i="1"/>
  <c r="N206" i="1"/>
  <c r="O206" i="1"/>
  <c r="P206" i="1"/>
  <c r="Q206" i="1"/>
  <c r="R206" i="1"/>
  <c r="S206" i="1"/>
  <c r="T206" i="1"/>
  <c r="U206" i="1"/>
  <c r="N207" i="1"/>
  <c r="O207" i="1"/>
  <c r="P207" i="1"/>
  <c r="Q207" i="1"/>
  <c r="R207" i="1"/>
  <c r="S207" i="1"/>
  <c r="T207" i="1"/>
  <c r="U207" i="1"/>
  <c r="N208" i="1"/>
  <c r="O208" i="1"/>
  <c r="P208" i="1"/>
  <c r="Q208" i="1"/>
  <c r="R208" i="1"/>
  <c r="S208" i="1"/>
  <c r="T208" i="1"/>
  <c r="U208" i="1"/>
  <c r="N209" i="1"/>
  <c r="O209" i="1"/>
  <c r="P209" i="1"/>
  <c r="Q209" i="1"/>
  <c r="R209" i="1"/>
  <c r="S209" i="1"/>
  <c r="T209" i="1"/>
  <c r="U209" i="1"/>
  <c r="N210" i="1"/>
  <c r="O210" i="1"/>
  <c r="P210" i="1"/>
  <c r="Q210" i="1"/>
  <c r="R210" i="1"/>
  <c r="S210" i="1"/>
  <c r="T210" i="1"/>
  <c r="U210" i="1"/>
  <c r="N211" i="1"/>
  <c r="O211" i="1"/>
  <c r="P211" i="1"/>
  <c r="Q211" i="1"/>
  <c r="R211" i="1"/>
  <c r="S211" i="1"/>
  <c r="T211" i="1"/>
  <c r="U211" i="1"/>
  <c r="N212" i="1"/>
  <c r="O212" i="1"/>
  <c r="P212" i="1"/>
  <c r="Q212" i="1"/>
  <c r="R212" i="1"/>
  <c r="S212" i="1"/>
  <c r="T212" i="1"/>
  <c r="U212" i="1"/>
  <c r="N213" i="1"/>
  <c r="O213" i="1"/>
  <c r="P213" i="1"/>
  <c r="Q213" i="1"/>
  <c r="R213" i="1"/>
  <c r="S213" i="1"/>
  <c r="T213" i="1"/>
  <c r="U213" i="1"/>
  <c r="N214" i="1"/>
  <c r="O214" i="1"/>
  <c r="P214" i="1"/>
  <c r="Q214" i="1"/>
  <c r="R214" i="1"/>
  <c r="S214" i="1"/>
  <c r="T214" i="1"/>
  <c r="U214" i="1"/>
  <c r="N215" i="1"/>
  <c r="O215" i="1"/>
  <c r="P215" i="1"/>
  <c r="Q215" i="1"/>
  <c r="R215" i="1"/>
  <c r="S215" i="1"/>
  <c r="T215" i="1"/>
  <c r="U215" i="1"/>
  <c r="N216" i="1"/>
  <c r="O216" i="1"/>
  <c r="P216" i="1"/>
  <c r="Q216" i="1"/>
  <c r="R216" i="1"/>
  <c r="S216" i="1"/>
  <c r="T216" i="1"/>
  <c r="U216" i="1"/>
  <c r="N217" i="1"/>
  <c r="O217" i="1"/>
  <c r="P217" i="1"/>
  <c r="Q217" i="1"/>
  <c r="R217" i="1"/>
  <c r="S217" i="1"/>
  <c r="T217" i="1"/>
  <c r="U217" i="1"/>
  <c r="N218" i="1"/>
  <c r="O218" i="1"/>
  <c r="P218" i="1"/>
  <c r="Q218" i="1"/>
  <c r="R218" i="1"/>
  <c r="S218" i="1"/>
  <c r="T218" i="1"/>
  <c r="U218" i="1"/>
  <c r="N219" i="1"/>
  <c r="O219" i="1"/>
  <c r="P219" i="1"/>
  <c r="Q219" i="1"/>
  <c r="R219" i="1"/>
  <c r="S219" i="1"/>
  <c r="T219" i="1"/>
  <c r="U219" i="1"/>
  <c r="N220" i="1"/>
  <c r="O220" i="1"/>
  <c r="P220" i="1"/>
  <c r="Q220" i="1"/>
  <c r="R220" i="1"/>
  <c r="S220" i="1"/>
  <c r="T220" i="1"/>
  <c r="U220" i="1"/>
  <c r="N222" i="1"/>
  <c r="O222" i="1"/>
  <c r="P222" i="1"/>
  <c r="Q222" i="1"/>
  <c r="R222" i="1"/>
  <c r="S222" i="1"/>
  <c r="T222" i="1"/>
  <c r="U222" i="1"/>
  <c r="N226" i="1"/>
  <c r="O226" i="1"/>
  <c r="P226" i="1"/>
  <c r="Q226" i="1"/>
  <c r="R226" i="1"/>
  <c r="S226" i="1"/>
  <c r="T226" i="1"/>
  <c r="U226" i="1"/>
  <c r="N227" i="1"/>
  <c r="O227" i="1"/>
  <c r="P227" i="1"/>
  <c r="Q227" i="1"/>
  <c r="R227" i="1"/>
  <c r="S227" i="1"/>
  <c r="T227" i="1"/>
  <c r="U227" i="1"/>
  <c r="N228" i="1"/>
  <c r="O228" i="1"/>
  <c r="P228" i="1"/>
  <c r="Q228" i="1"/>
  <c r="R228" i="1"/>
  <c r="S228" i="1"/>
  <c r="T228" i="1"/>
  <c r="U228" i="1"/>
  <c r="N229" i="1"/>
  <c r="O229" i="1"/>
  <c r="P229" i="1"/>
  <c r="Q229" i="1"/>
  <c r="R229" i="1"/>
  <c r="S229" i="1"/>
  <c r="T229" i="1"/>
  <c r="U229" i="1"/>
  <c r="N230" i="1"/>
  <c r="O230" i="1"/>
  <c r="P230" i="1"/>
  <c r="Q230" i="1"/>
  <c r="R230" i="1"/>
  <c r="S230" i="1"/>
  <c r="T230" i="1"/>
  <c r="U230" i="1"/>
  <c r="N231" i="1"/>
  <c r="O231" i="1"/>
  <c r="P231" i="1"/>
  <c r="Q231" i="1"/>
  <c r="R231" i="1"/>
  <c r="S231" i="1"/>
  <c r="T231" i="1"/>
  <c r="U231" i="1"/>
  <c r="N232" i="1"/>
  <c r="O232" i="1"/>
  <c r="P232" i="1"/>
  <c r="Q232" i="1"/>
  <c r="R232" i="1"/>
  <c r="S232" i="1"/>
  <c r="T232" i="1"/>
  <c r="U232" i="1"/>
  <c r="N233" i="1"/>
  <c r="O233" i="1"/>
  <c r="P233" i="1"/>
  <c r="Q233" i="1"/>
  <c r="R233" i="1"/>
  <c r="S233" i="1"/>
  <c r="T233" i="1"/>
  <c r="U233" i="1"/>
  <c r="N234" i="1"/>
  <c r="O234" i="1"/>
  <c r="P234" i="1"/>
  <c r="Q234" i="1"/>
  <c r="R234" i="1"/>
  <c r="S234" i="1"/>
  <c r="T234" i="1"/>
  <c r="U234" i="1"/>
  <c r="N235" i="1"/>
  <c r="O235" i="1"/>
  <c r="P235" i="1"/>
  <c r="Q235" i="1"/>
  <c r="R235" i="1"/>
  <c r="S235" i="1"/>
  <c r="T235" i="1"/>
  <c r="U235" i="1"/>
  <c r="N236" i="1"/>
  <c r="O236" i="1"/>
  <c r="P236" i="1"/>
  <c r="Q236" i="1"/>
  <c r="R236" i="1"/>
  <c r="S236" i="1"/>
  <c r="T236" i="1"/>
  <c r="U236" i="1"/>
  <c r="N237" i="1"/>
  <c r="O237" i="1"/>
  <c r="P237" i="1"/>
  <c r="Q237" i="1"/>
  <c r="R237" i="1"/>
  <c r="S237" i="1"/>
  <c r="T237" i="1"/>
  <c r="U237" i="1"/>
  <c r="N238" i="1"/>
  <c r="O238" i="1"/>
  <c r="P238" i="1"/>
  <c r="Q238" i="1"/>
  <c r="R238" i="1"/>
  <c r="S238" i="1"/>
  <c r="T238" i="1"/>
  <c r="U238" i="1"/>
  <c r="N240" i="1"/>
  <c r="O240" i="1"/>
  <c r="P240" i="1"/>
  <c r="Q240" i="1"/>
  <c r="R240" i="1"/>
  <c r="S240" i="1"/>
  <c r="T240" i="1"/>
  <c r="U240" i="1"/>
  <c r="F241" i="1"/>
  <c r="H241" i="1"/>
  <c r="I241" i="1" s="1"/>
  <c r="J241" i="1"/>
  <c r="K241" i="1"/>
  <c r="L241" i="1"/>
  <c r="F242" i="1"/>
  <c r="H242" i="1"/>
  <c r="I242" i="1" s="1"/>
  <c r="J242" i="1"/>
  <c r="K242" i="1"/>
  <c r="L242" i="1"/>
  <c r="F243" i="1"/>
  <c r="H243" i="1"/>
  <c r="I243" i="1" s="1"/>
  <c r="J243" i="1"/>
  <c r="K243" i="1"/>
  <c r="L243" i="1"/>
  <c r="N244" i="1"/>
  <c r="O244" i="1"/>
  <c r="P244" i="1"/>
  <c r="Q244" i="1"/>
  <c r="R244" i="1"/>
  <c r="S244" i="1"/>
  <c r="T244" i="1"/>
  <c r="U244" i="1"/>
  <c r="N245" i="1"/>
  <c r="O245" i="1"/>
  <c r="P245" i="1"/>
  <c r="Q245" i="1"/>
  <c r="R245" i="1"/>
  <c r="S245" i="1"/>
  <c r="T245" i="1"/>
  <c r="U245" i="1"/>
  <c r="N246" i="1"/>
  <c r="O246" i="1"/>
  <c r="P246" i="1"/>
  <c r="Q246" i="1"/>
  <c r="R246" i="1"/>
  <c r="S246" i="1"/>
  <c r="T246" i="1"/>
  <c r="U246" i="1"/>
  <c r="F247" i="1"/>
  <c r="H247" i="1"/>
  <c r="I247" i="1" s="1"/>
  <c r="J247" i="1"/>
  <c r="K247" i="1"/>
  <c r="L247" i="1"/>
  <c r="F248" i="1"/>
  <c r="H248" i="1"/>
  <c r="I248" i="1" s="1"/>
  <c r="J248" i="1"/>
  <c r="K248" i="1"/>
  <c r="L248" i="1"/>
  <c r="F249" i="1"/>
  <c r="H249" i="1"/>
  <c r="I249" i="1" s="1"/>
  <c r="J249" i="1"/>
  <c r="K249" i="1"/>
  <c r="L249" i="1"/>
  <c r="F258" i="1"/>
  <c r="H258" i="1"/>
  <c r="I258" i="1" s="1"/>
  <c r="J258" i="1"/>
  <c r="K258" i="1"/>
  <c r="L258" i="1"/>
  <c r="F260" i="1"/>
  <c r="H260" i="1"/>
  <c r="I260" i="1" s="1"/>
  <c r="J260" i="1"/>
  <c r="K260" i="1"/>
  <c r="L260" i="1"/>
  <c r="N265" i="1"/>
  <c r="O265" i="1"/>
  <c r="P265" i="1"/>
  <c r="Q265" i="1"/>
  <c r="R265" i="1"/>
  <c r="S265" i="1"/>
  <c r="T265" i="1"/>
  <c r="U265" i="1"/>
  <c r="F271" i="1"/>
  <c r="H271" i="1"/>
  <c r="I271" i="1" s="1"/>
  <c r="J271" i="1"/>
  <c r="K271" i="1"/>
  <c r="L271" i="1"/>
  <c r="F272" i="1"/>
  <c r="H272" i="1"/>
  <c r="I272" i="1" s="1"/>
  <c r="J272" i="1"/>
  <c r="K272" i="1"/>
  <c r="L272" i="1"/>
  <c r="F276" i="1"/>
  <c r="H276" i="1"/>
  <c r="I276" i="1" s="1"/>
  <c r="J276" i="1"/>
  <c r="K276" i="1"/>
  <c r="L276" i="1"/>
  <c r="F279" i="1"/>
  <c r="H279" i="1"/>
  <c r="I279" i="1" s="1"/>
  <c r="J279" i="1"/>
  <c r="K279" i="1"/>
  <c r="L279" i="1"/>
  <c r="N281" i="1"/>
  <c r="O281" i="1"/>
  <c r="P281" i="1"/>
  <c r="Q281" i="1"/>
  <c r="R281" i="1"/>
  <c r="S281" i="1"/>
  <c r="T281" i="1"/>
  <c r="U281" i="1"/>
  <c r="N282" i="1"/>
  <c r="O282" i="1"/>
  <c r="P282" i="1"/>
  <c r="Q282" i="1"/>
  <c r="R282" i="1"/>
  <c r="S282" i="1"/>
  <c r="T282" i="1"/>
  <c r="U282" i="1"/>
  <c r="N283" i="1"/>
  <c r="O283" i="1"/>
  <c r="P283" i="1"/>
  <c r="Q283" i="1"/>
  <c r="R283" i="1"/>
  <c r="S283" i="1"/>
  <c r="T283" i="1"/>
  <c r="U283" i="1"/>
  <c r="N284" i="1"/>
  <c r="O284" i="1"/>
  <c r="P284" i="1"/>
  <c r="Q284" i="1"/>
  <c r="R284" i="1"/>
  <c r="S284" i="1"/>
  <c r="T284" i="1"/>
  <c r="U284" i="1"/>
  <c r="N285" i="1"/>
  <c r="O285" i="1"/>
  <c r="P285" i="1"/>
  <c r="Q285" i="1"/>
  <c r="R285" i="1"/>
  <c r="S285" i="1"/>
  <c r="T285" i="1"/>
  <c r="U285" i="1"/>
  <c r="N286" i="1"/>
  <c r="O286" i="1"/>
  <c r="P286" i="1"/>
  <c r="Q286" i="1"/>
  <c r="R286" i="1"/>
  <c r="S286" i="1"/>
  <c r="T286" i="1"/>
  <c r="U286" i="1"/>
  <c r="N287" i="1"/>
  <c r="O287" i="1"/>
  <c r="P287" i="1"/>
  <c r="Q287" i="1"/>
  <c r="R287" i="1"/>
  <c r="S287" i="1"/>
  <c r="T287" i="1"/>
  <c r="U287" i="1"/>
  <c r="N288" i="1"/>
  <c r="O288" i="1"/>
  <c r="P288" i="1"/>
  <c r="Q288" i="1"/>
  <c r="R288" i="1"/>
  <c r="S288" i="1"/>
  <c r="T288" i="1"/>
  <c r="U288" i="1"/>
  <c r="N289" i="1"/>
  <c r="O289" i="1"/>
  <c r="P289" i="1"/>
  <c r="Q289" i="1"/>
  <c r="R289" i="1"/>
  <c r="S289" i="1"/>
  <c r="T289" i="1"/>
  <c r="U289" i="1"/>
  <c r="F290" i="1"/>
  <c r="H290" i="1"/>
  <c r="I290" i="1" s="1"/>
  <c r="J290" i="1"/>
  <c r="K290" i="1"/>
  <c r="L290" i="1"/>
  <c r="N291" i="1"/>
  <c r="O291" i="1"/>
  <c r="P291" i="1"/>
  <c r="Q291" i="1"/>
  <c r="R291" i="1"/>
  <c r="S291" i="1"/>
  <c r="T291" i="1"/>
  <c r="U291" i="1"/>
  <c r="N292" i="1"/>
  <c r="O292" i="1"/>
  <c r="P292" i="1"/>
  <c r="Q292" i="1"/>
  <c r="R292" i="1"/>
  <c r="S292" i="1"/>
  <c r="T292" i="1"/>
  <c r="U292" i="1"/>
  <c r="N293" i="1"/>
  <c r="O293" i="1"/>
  <c r="P293" i="1"/>
  <c r="Q293" i="1"/>
  <c r="R293" i="1"/>
  <c r="S293" i="1"/>
  <c r="T293" i="1"/>
  <c r="U293" i="1"/>
  <c r="N294" i="1"/>
  <c r="O294" i="1"/>
  <c r="P294" i="1"/>
  <c r="Q294" i="1"/>
  <c r="R294" i="1"/>
  <c r="S294" i="1"/>
  <c r="T294" i="1"/>
  <c r="U294" i="1"/>
  <c r="N295" i="1"/>
  <c r="O295" i="1"/>
  <c r="P295" i="1"/>
  <c r="Q295" i="1"/>
  <c r="R295" i="1"/>
  <c r="S295" i="1"/>
  <c r="T295" i="1"/>
  <c r="U295" i="1"/>
  <c r="N296" i="1"/>
  <c r="O296" i="1"/>
  <c r="P296" i="1"/>
  <c r="Q296" i="1"/>
  <c r="R296" i="1"/>
  <c r="S296" i="1"/>
  <c r="T296" i="1"/>
  <c r="U296" i="1"/>
  <c r="F297" i="1"/>
  <c r="H297" i="1"/>
  <c r="I297" i="1" s="1"/>
  <c r="J297" i="1"/>
  <c r="K297" i="1"/>
  <c r="L297" i="1"/>
  <c r="N298" i="1"/>
  <c r="O298" i="1"/>
  <c r="P298" i="1"/>
  <c r="Q298" i="1"/>
  <c r="R298" i="1"/>
  <c r="S298" i="1"/>
  <c r="T298" i="1"/>
  <c r="U298" i="1"/>
  <c r="N299" i="1"/>
  <c r="O299" i="1"/>
  <c r="P299" i="1"/>
  <c r="Q299" i="1"/>
  <c r="R299" i="1"/>
  <c r="S299" i="1"/>
  <c r="T299" i="1"/>
  <c r="U299" i="1"/>
  <c r="N300" i="1"/>
  <c r="O300" i="1"/>
  <c r="P300" i="1"/>
  <c r="Q300" i="1"/>
  <c r="R300" i="1"/>
  <c r="S300" i="1"/>
  <c r="T300" i="1"/>
  <c r="U300" i="1"/>
  <c r="N303" i="1"/>
  <c r="O303" i="1"/>
  <c r="P303" i="1"/>
  <c r="Q303" i="1"/>
  <c r="R303" i="1"/>
  <c r="S303" i="1"/>
  <c r="T303" i="1"/>
  <c r="U303" i="1"/>
  <c r="N304" i="1"/>
  <c r="O304" i="1"/>
  <c r="P304" i="1"/>
  <c r="Q304" i="1"/>
  <c r="R304" i="1"/>
  <c r="S304" i="1"/>
  <c r="T304" i="1"/>
  <c r="U304" i="1"/>
  <c r="N307" i="1"/>
  <c r="O307" i="1"/>
  <c r="P307" i="1"/>
  <c r="Q307" i="1"/>
  <c r="R307" i="1"/>
  <c r="S307" i="1"/>
  <c r="T307" i="1"/>
  <c r="U307" i="1"/>
  <c r="N308" i="1"/>
  <c r="O308" i="1"/>
  <c r="P308" i="1"/>
  <c r="Q308" i="1"/>
  <c r="R308" i="1"/>
  <c r="S308" i="1"/>
  <c r="T308" i="1"/>
  <c r="U308" i="1"/>
  <c r="N309" i="1"/>
  <c r="O309" i="1"/>
  <c r="P309" i="1"/>
  <c r="Q309" i="1"/>
  <c r="R309" i="1"/>
  <c r="S309" i="1"/>
  <c r="T309" i="1"/>
  <c r="U309" i="1"/>
  <c r="N310" i="1"/>
  <c r="O310" i="1"/>
  <c r="P310" i="1"/>
  <c r="Q310" i="1"/>
  <c r="R310" i="1"/>
  <c r="S310" i="1"/>
  <c r="T310" i="1"/>
  <c r="U310" i="1"/>
  <c r="N311" i="1"/>
  <c r="O311" i="1"/>
  <c r="P311" i="1"/>
  <c r="Q311" i="1"/>
  <c r="R311" i="1"/>
  <c r="S311" i="1"/>
  <c r="T311" i="1"/>
  <c r="U311" i="1"/>
  <c r="N312" i="1"/>
  <c r="O312" i="1"/>
  <c r="P312" i="1"/>
  <c r="Q312" i="1"/>
  <c r="R312" i="1"/>
  <c r="S312" i="1"/>
  <c r="T312" i="1"/>
  <c r="U312" i="1"/>
  <c r="N313" i="1"/>
  <c r="O313" i="1"/>
  <c r="P313" i="1"/>
  <c r="Q313" i="1"/>
  <c r="R313" i="1"/>
  <c r="S313" i="1"/>
  <c r="T313" i="1"/>
  <c r="U313" i="1"/>
  <c r="N314" i="1"/>
  <c r="O314" i="1"/>
  <c r="P314" i="1"/>
  <c r="Q314" i="1"/>
  <c r="R314" i="1"/>
  <c r="S314" i="1"/>
  <c r="T314" i="1"/>
  <c r="U314" i="1"/>
  <c r="N315" i="1"/>
  <c r="O315" i="1"/>
  <c r="P315" i="1"/>
  <c r="Q315" i="1"/>
  <c r="R315" i="1"/>
  <c r="S315" i="1"/>
  <c r="T315" i="1"/>
  <c r="U315" i="1"/>
  <c r="N316" i="1"/>
  <c r="O316" i="1"/>
  <c r="P316" i="1"/>
  <c r="Q316" i="1"/>
  <c r="R316" i="1"/>
  <c r="S316" i="1"/>
  <c r="T316" i="1"/>
  <c r="U316" i="1"/>
  <c r="N317" i="1"/>
  <c r="O317" i="1"/>
  <c r="P317" i="1"/>
  <c r="Q317" i="1"/>
  <c r="R317" i="1"/>
  <c r="S317" i="1"/>
  <c r="T317" i="1"/>
  <c r="U317" i="1"/>
  <c r="N318" i="1"/>
  <c r="O318" i="1"/>
  <c r="P318" i="1"/>
  <c r="Q318" i="1"/>
  <c r="R318" i="1"/>
  <c r="S318" i="1"/>
  <c r="T318" i="1"/>
  <c r="U318" i="1"/>
  <c r="N319" i="1"/>
  <c r="O319" i="1"/>
  <c r="P319" i="1"/>
  <c r="Q319" i="1"/>
  <c r="R319" i="1"/>
  <c r="S319" i="1"/>
  <c r="T319" i="1"/>
  <c r="U319" i="1"/>
  <c r="N320" i="1"/>
  <c r="O320" i="1"/>
  <c r="P320" i="1"/>
  <c r="Q320" i="1"/>
  <c r="R320" i="1"/>
  <c r="S320" i="1"/>
  <c r="T320" i="1"/>
  <c r="U320" i="1"/>
  <c r="N321" i="1"/>
  <c r="O321" i="1"/>
  <c r="P321" i="1"/>
  <c r="Q321" i="1"/>
  <c r="R321" i="1"/>
  <c r="S321" i="1"/>
  <c r="T321" i="1"/>
  <c r="U321" i="1"/>
  <c r="N322" i="1"/>
  <c r="O322" i="1"/>
  <c r="P322" i="1"/>
  <c r="Q322" i="1"/>
  <c r="R322" i="1"/>
  <c r="S322" i="1"/>
  <c r="T322" i="1"/>
  <c r="U322" i="1"/>
  <c r="N323" i="1"/>
  <c r="O323" i="1"/>
  <c r="P323" i="1"/>
  <c r="Q323" i="1"/>
  <c r="R323" i="1"/>
  <c r="S323" i="1"/>
  <c r="T323" i="1"/>
  <c r="U323" i="1"/>
  <c r="N324" i="1"/>
  <c r="O324" i="1"/>
  <c r="P324" i="1"/>
  <c r="Q324" i="1"/>
  <c r="R324" i="1"/>
  <c r="S324" i="1"/>
  <c r="T324" i="1"/>
  <c r="U324" i="1"/>
  <c r="N325" i="1"/>
  <c r="O325" i="1"/>
  <c r="P325" i="1"/>
  <c r="Q325" i="1"/>
  <c r="R325" i="1"/>
  <c r="S325" i="1"/>
  <c r="T325" i="1"/>
  <c r="U325" i="1"/>
  <c r="N326" i="1"/>
  <c r="O326" i="1"/>
  <c r="P326" i="1"/>
  <c r="Q326" i="1"/>
  <c r="R326" i="1"/>
  <c r="S326" i="1"/>
  <c r="T326" i="1"/>
  <c r="U326" i="1"/>
  <c r="N327" i="1"/>
  <c r="O327" i="1"/>
  <c r="P327" i="1"/>
  <c r="Q327" i="1"/>
  <c r="R327" i="1"/>
  <c r="S327" i="1"/>
  <c r="T327" i="1"/>
  <c r="U327" i="1"/>
  <c r="N328" i="1"/>
  <c r="O328" i="1"/>
  <c r="P328" i="1"/>
  <c r="Q328" i="1"/>
  <c r="R328" i="1"/>
  <c r="S328" i="1"/>
  <c r="T328" i="1"/>
  <c r="U328" i="1"/>
  <c r="N329" i="1"/>
  <c r="O329" i="1"/>
  <c r="P329" i="1"/>
  <c r="Q329" i="1"/>
  <c r="R329" i="1"/>
  <c r="S329" i="1"/>
  <c r="T329" i="1"/>
  <c r="U329" i="1"/>
  <c r="N330" i="1"/>
  <c r="O330" i="1"/>
  <c r="P330" i="1"/>
  <c r="Q330" i="1"/>
  <c r="R330" i="1"/>
  <c r="S330" i="1"/>
  <c r="T330" i="1"/>
  <c r="U330" i="1"/>
  <c r="N331" i="1"/>
  <c r="O331" i="1"/>
  <c r="P331" i="1"/>
  <c r="Q331" i="1"/>
  <c r="R331" i="1"/>
  <c r="S331" i="1"/>
  <c r="T331" i="1"/>
  <c r="U331" i="1"/>
  <c r="N332" i="1"/>
  <c r="O332" i="1"/>
  <c r="P332" i="1"/>
  <c r="Q332" i="1"/>
  <c r="R332" i="1"/>
  <c r="S332" i="1"/>
  <c r="T332" i="1"/>
  <c r="U332" i="1"/>
  <c r="N333" i="1"/>
  <c r="O333" i="1"/>
  <c r="P333" i="1"/>
  <c r="Q333" i="1"/>
  <c r="R333" i="1"/>
  <c r="S333" i="1"/>
  <c r="T333" i="1"/>
  <c r="U333" i="1"/>
  <c r="N334" i="1"/>
  <c r="O334" i="1"/>
  <c r="P334" i="1"/>
  <c r="Q334" i="1"/>
  <c r="R334" i="1"/>
  <c r="S334" i="1"/>
  <c r="T334" i="1"/>
  <c r="U334" i="1"/>
  <c r="N335" i="1"/>
  <c r="O335" i="1"/>
  <c r="P335" i="1"/>
  <c r="Q335" i="1"/>
  <c r="R335" i="1"/>
  <c r="S335" i="1"/>
  <c r="T335" i="1"/>
  <c r="U335" i="1"/>
  <c r="N336" i="1"/>
  <c r="O336" i="1"/>
  <c r="P336" i="1"/>
  <c r="Q336" i="1"/>
  <c r="R336" i="1"/>
  <c r="S336" i="1"/>
  <c r="T336" i="1"/>
  <c r="U336" i="1"/>
  <c r="N337" i="1"/>
  <c r="O337" i="1"/>
  <c r="P337" i="1"/>
  <c r="Q337" i="1"/>
  <c r="R337" i="1"/>
  <c r="S337" i="1"/>
  <c r="T337" i="1"/>
  <c r="U337" i="1"/>
  <c r="N338" i="1"/>
  <c r="O338" i="1"/>
  <c r="P338" i="1"/>
  <c r="Q338" i="1"/>
  <c r="R338" i="1"/>
  <c r="S338" i="1"/>
  <c r="T338" i="1"/>
  <c r="U338" i="1"/>
  <c r="N339" i="1"/>
  <c r="O339" i="1"/>
  <c r="P339" i="1"/>
  <c r="Q339" i="1"/>
  <c r="R339" i="1"/>
  <c r="S339" i="1"/>
  <c r="T339" i="1"/>
  <c r="U339" i="1"/>
  <c r="N340" i="1"/>
  <c r="O340" i="1"/>
  <c r="P340" i="1"/>
  <c r="Q340" i="1"/>
  <c r="R340" i="1"/>
  <c r="S340" i="1"/>
  <c r="T340" i="1"/>
  <c r="U340" i="1"/>
  <c r="N341" i="1"/>
  <c r="O341" i="1"/>
  <c r="P341" i="1"/>
  <c r="Q341" i="1"/>
  <c r="R341" i="1"/>
  <c r="S341" i="1"/>
  <c r="T341" i="1"/>
  <c r="U341" i="1"/>
  <c r="N342" i="1"/>
  <c r="O342" i="1"/>
  <c r="P342" i="1"/>
  <c r="Q342" i="1"/>
  <c r="R342" i="1"/>
  <c r="S342" i="1"/>
  <c r="T342" i="1"/>
  <c r="U342" i="1"/>
  <c r="N343" i="1"/>
  <c r="O343" i="1"/>
  <c r="P343" i="1"/>
  <c r="Q343" i="1"/>
  <c r="R343" i="1"/>
  <c r="S343" i="1"/>
  <c r="T343" i="1"/>
  <c r="U343" i="1"/>
  <c r="N344" i="1"/>
  <c r="O344" i="1"/>
  <c r="P344" i="1"/>
  <c r="Q344" i="1"/>
  <c r="R344" i="1"/>
  <c r="S344" i="1"/>
  <c r="T344" i="1"/>
  <c r="U344" i="1"/>
  <c r="N345" i="1"/>
  <c r="O345" i="1"/>
  <c r="P345" i="1"/>
  <c r="Q345" i="1"/>
  <c r="R345" i="1"/>
  <c r="S345" i="1"/>
  <c r="T345" i="1"/>
  <c r="U345" i="1"/>
  <c r="N346" i="1"/>
  <c r="O346" i="1"/>
  <c r="P346" i="1"/>
  <c r="Q346" i="1"/>
  <c r="R346" i="1"/>
  <c r="S346" i="1"/>
  <c r="T346" i="1"/>
  <c r="U346" i="1"/>
  <c r="W280" i="1" l="1"/>
  <c r="V280" i="1"/>
  <c r="W278" i="1"/>
  <c r="V278" i="1"/>
  <c r="W258" i="1"/>
  <c r="V258" i="1"/>
  <c r="V84" i="1"/>
  <c r="W84" i="1"/>
  <c r="V53" i="1"/>
  <c r="W53" i="1"/>
  <c r="W50" i="1"/>
  <c r="V50" i="1"/>
  <c r="V46" i="1"/>
  <c r="W46" i="1"/>
  <c r="V44" i="1"/>
  <c r="W44" i="1"/>
  <c r="V39" i="1"/>
  <c r="W39" i="1"/>
  <c r="W12" i="1"/>
  <c r="V12" i="1"/>
  <c r="W194" i="1"/>
  <c r="V194" i="1"/>
  <c r="V192" i="1"/>
  <c r="W192" i="1"/>
  <c r="V190" i="1"/>
  <c r="W190" i="1"/>
  <c r="W188" i="1"/>
  <c r="V188" i="1"/>
  <c r="V185" i="1"/>
  <c r="W185" i="1"/>
  <c r="W183" i="1"/>
  <c r="V183" i="1"/>
  <c r="V181" i="1"/>
  <c r="W181" i="1"/>
  <c r="W176" i="1"/>
  <c r="V176" i="1"/>
  <c r="W174" i="1"/>
  <c r="V174" i="1"/>
  <c r="W172" i="1"/>
  <c r="V172" i="1"/>
  <c r="W169" i="1"/>
  <c r="V169" i="1"/>
  <c r="V167" i="1"/>
  <c r="W167" i="1"/>
  <c r="V165" i="1"/>
  <c r="W165" i="1"/>
  <c r="V163" i="1"/>
  <c r="W163" i="1"/>
  <c r="V161" i="1"/>
  <c r="W161" i="1"/>
  <c r="W159" i="1"/>
  <c r="V159" i="1"/>
  <c r="V157" i="1"/>
  <c r="W157" i="1"/>
  <c r="V155" i="1"/>
  <c r="W155" i="1"/>
  <c r="V153" i="1"/>
  <c r="W153" i="1"/>
  <c r="V151" i="1"/>
  <c r="W151" i="1"/>
  <c r="V139" i="1"/>
  <c r="W139" i="1"/>
  <c r="V137" i="1"/>
  <c r="W137" i="1"/>
  <c r="V110" i="1"/>
  <c r="W110" i="1"/>
  <c r="V108" i="1"/>
  <c r="W108" i="1"/>
  <c r="V106" i="1"/>
  <c r="W106" i="1"/>
  <c r="V105" i="1"/>
  <c r="W105" i="1"/>
  <c r="V72" i="1"/>
  <c r="W72" i="1"/>
  <c r="W66" i="1"/>
  <c r="V66" i="1"/>
  <c r="W64" i="1"/>
  <c r="V64" i="1"/>
  <c r="V62" i="1"/>
  <c r="W62" i="1"/>
  <c r="V60" i="1"/>
  <c r="W60" i="1"/>
  <c r="W32" i="1"/>
  <c r="V32" i="1"/>
  <c r="V30" i="1"/>
  <c r="W30" i="1"/>
  <c r="V28" i="1"/>
  <c r="W28" i="1"/>
  <c r="V25" i="1"/>
  <c r="W25" i="1"/>
  <c r="W23" i="1"/>
  <c r="V23" i="1"/>
  <c r="W22" i="1"/>
  <c r="V22" i="1"/>
  <c r="V20" i="1"/>
  <c r="W20" i="1"/>
  <c r="W18" i="1"/>
  <c r="V18" i="1"/>
  <c r="W16" i="1"/>
  <c r="V16" i="1"/>
  <c r="W14" i="1"/>
  <c r="V14" i="1"/>
  <c r="V297" i="1"/>
  <c r="W297" i="1"/>
  <c r="W279" i="1"/>
  <c r="V279" i="1"/>
  <c r="V243" i="1"/>
  <c r="W243" i="1"/>
  <c r="V107" i="1"/>
  <c r="W107" i="1"/>
  <c r="V104" i="1"/>
  <c r="W104" i="1"/>
  <c r="V82" i="1"/>
  <c r="W82" i="1"/>
  <c r="W55" i="1"/>
  <c r="V55" i="1"/>
  <c r="W52" i="1"/>
  <c r="V52" i="1"/>
  <c r="W34" i="1"/>
  <c r="V34" i="1"/>
  <c r="V290" i="1"/>
  <c r="W290" i="1"/>
  <c r="W275" i="1"/>
  <c r="V275" i="1"/>
  <c r="W274" i="1"/>
  <c r="V274" i="1"/>
  <c r="W273" i="1"/>
  <c r="V273" i="1"/>
  <c r="W272" i="1"/>
  <c r="V272" i="1"/>
  <c r="W270" i="1"/>
  <c r="V270" i="1"/>
  <c r="V269" i="1"/>
  <c r="W269" i="1"/>
  <c r="W268" i="1"/>
  <c r="V268" i="1"/>
  <c r="W264" i="1"/>
  <c r="V264" i="1"/>
  <c r="V263" i="1"/>
  <c r="W263" i="1"/>
  <c r="W262" i="1"/>
  <c r="V262" i="1"/>
  <c r="W260" i="1"/>
  <c r="V260" i="1"/>
  <c r="W257" i="1"/>
  <c r="V257" i="1"/>
  <c r="V256" i="1"/>
  <c r="W256" i="1"/>
  <c r="W255" i="1"/>
  <c r="V255" i="1"/>
  <c r="V254" i="1"/>
  <c r="W254" i="1"/>
  <c r="V249" i="1"/>
  <c r="W249" i="1"/>
  <c r="V247" i="1"/>
  <c r="W247" i="1"/>
  <c r="W242" i="1"/>
  <c r="V242" i="1"/>
  <c r="W225" i="1"/>
  <c r="V225" i="1"/>
  <c r="V221" i="1"/>
  <c r="W221" i="1"/>
  <c r="V196" i="1"/>
  <c r="W196" i="1"/>
  <c r="V100" i="1"/>
  <c r="W100" i="1"/>
  <c r="V99" i="1"/>
  <c r="W99" i="1"/>
  <c r="V98" i="1"/>
  <c r="W98" i="1"/>
  <c r="V95" i="1"/>
  <c r="W95" i="1"/>
  <c r="V85" i="1"/>
  <c r="W85" i="1"/>
  <c r="V83" i="1"/>
  <c r="W83" i="1"/>
  <c r="V58" i="1"/>
  <c r="W58" i="1"/>
  <c r="V57" i="1"/>
  <c r="W57" i="1"/>
  <c r="W54" i="1"/>
  <c r="V54" i="1"/>
  <c r="V49" i="1"/>
  <c r="W49" i="1"/>
  <c r="W47" i="1"/>
  <c r="V47" i="1"/>
  <c r="W45" i="1"/>
  <c r="V45" i="1"/>
  <c r="W43" i="1"/>
  <c r="V43" i="1"/>
  <c r="W40" i="1"/>
  <c r="V40" i="1"/>
  <c r="V37" i="1"/>
  <c r="W37" i="1"/>
  <c r="W33" i="1"/>
  <c r="V33" i="1"/>
  <c r="V13" i="1"/>
  <c r="W13" i="1"/>
  <c r="V11" i="1"/>
  <c r="W11" i="1"/>
  <c r="V277" i="1"/>
  <c r="W277" i="1"/>
  <c r="W276" i="1"/>
  <c r="V276" i="1"/>
  <c r="V271" i="1"/>
  <c r="W271" i="1"/>
  <c r="W248" i="1"/>
  <c r="V248" i="1"/>
  <c r="V241" i="1"/>
  <c r="W241" i="1"/>
  <c r="V195" i="1"/>
  <c r="W195" i="1"/>
  <c r="V103" i="1"/>
  <c r="W103" i="1"/>
  <c r="V96" i="1"/>
  <c r="W96" i="1"/>
  <c r="V94" i="1"/>
  <c r="W94" i="1"/>
  <c r="V86" i="1"/>
  <c r="W86" i="1"/>
  <c r="W56" i="1"/>
  <c r="V56" i="1"/>
  <c r="W51" i="1"/>
  <c r="V51" i="1"/>
  <c r="V48" i="1"/>
  <c r="W48" i="1"/>
  <c r="V41" i="1"/>
  <c r="W41" i="1"/>
  <c r="W193" i="1"/>
  <c r="V193" i="1"/>
  <c r="V191" i="1"/>
  <c r="W191" i="1"/>
  <c r="W189" i="1"/>
  <c r="V189" i="1"/>
  <c r="W186" i="1"/>
  <c r="V186" i="1"/>
  <c r="W184" i="1"/>
  <c r="V184" i="1"/>
  <c r="V182" i="1"/>
  <c r="W182" i="1"/>
  <c r="V180" i="1"/>
  <c r="W180" i="1"/>
  <c r="V175" i="1"/>
  <c r="W175" i="1"/>
  <c r="W173" i="1"/>
  <c r="V173" i="1"/>
  <c r="V171" i="1"/>
  <c r="W171" i="1"/>
  <c r="V168" i="1"/>
  <c r="W168" i="1"/>
  <c r="V166" i="1"/>
  <c r="W166" i="1"/>
  <c r="W164" i="1"/>
  <c r="V164" i="1"/>
  <c r="V162" i="1"/>
  <c r="W162" i="1"/>
  <c r="V160" i="1"/>
  <c r="W160" i="1"/>
  <c r="V158" i="1"/>
  <c r="W158" i="1"/>
  <c r="W156" i="1"/>
  <c r="V156" i="1"/>
  <c r="O154" i="1"/>
  <c r="V154" i="1"/>
  <c r="W154" i="1"/>
  <c r="W152" i="1"/>
  <c r="V152" i="1"/>
  <c r="W150" i="1"/>
  <c r="V150" i="1"/>
  <c r="V138" i="1"/>
  <c r="W138" i="1"/>
  <c r="W136" i="1"/>
  <c r="V136" i="1"/>
  <c r="W135" i="1"/>
  <c r="V135" i="1"/>
  <c r="W133" i="1"/>
  <c r="V133" i="1"/>
  <c r="W127" i="1"/>
  <c r="V127" i="1"/>
  <c r="W124" i="1"/>
  <c r="V124" i="1"/>
  <c r="V123" i="1"/>
  <c r="W123" i="1"/>
  <c r="V122" i="1"/>
  <c r="W122" i="1"/>
  <c r="V111" i="1"/>
  <c r="W111" i="1"/>
  <c r="V109" i="1"/>
  <c r="W109" i="1"/>
  <c r="V80" i="1"/>
  <c r="W80" i="1"/>
  <c r="V79" i="1"/>
  <c r="W79" i="1"/>
  <c r="V78" i="1"/>
  <c r="W78" i="1"/>
  <c r="V77" i="1"/>
  <c r="W77" i="1"/>
  <c r="V76" i="1"/>
  <c r="W76" i="1"/>
  <c r="W75" i="1"/>
  <c r="V75" i="1"/>
  <c r="V74" i="1"/>
  <c r="W74" i="1"/>
  <c r="W73" i="1"/>
  <c r="V73" i="1"/>
  <c r="V71" i="1"/>
  <c r="W71" i="1"/>
  <c r="V65" i="1"/>
  <c r="W65" i="1"/>
  <c r="W63" i="1"/>
  <c r="V63" i="1"/>
  <c r="W61" i="1"/>
  <c r="V61" i="1"/>
  <c r="W59" i="1"/>
  <c r="V59" i="1"/>
  <c r="W29" i="1"/>
  <c r="V29" i="1"/>
  <c r="W26" i="1"/>
  <c r="V26" i="1"/>
  <c r="W24" i="1"/>
  <c r="V24" i="1"/>
  <c r="W21" i="1"/>
  <c r="V21" i="1"/>
  <c r="V19" i="1"/>
  <c r="W19" i="1"/>
  <c r="V17" i="1"/>
  <c r="W17" i="1"/>
  <c r="V15" i="1"/>
  <c r="W15" i="1"/>
  <c r="N154" i="1"/>
  <c r="P75" i="1"/>
  <c r="N75" i="1"/>
  <c r="Q175" i="1"/>
  <c r="N175" i="1"/>
  <c r="P76" i="1"/>
  <c r="N76" i="1"/>
  <c r="P58" i="1"/>
  <c r="N58" i="1"/>
  <c r="P48" i="1"/>
  <c r="N48" i="1"/>
  <c r="P61" i="1"/>
  <c r="N61" i="1"/>
  <c r="Q56" i="1"/>
  <c r="N56" i="1"/>
  <c r="P18" i="1"/>
  <c r="N18" i="1"/>
  <c r="O279" i="1"/>
  <c r="N279" i="1"/>
  <c r="O274" i="1"/>
  <c r="P274" i="1"/>
  <c r="N274" i="1"/>
  <c r="P40" i="1"/>
  <c r="N40" i="1"/>
  <c r="Q278" i="1"/>
  <c r="R278" i="1"/>
  <c r="N278" i="1"/>
  <c r="O105" i="1"/>
  <c r="N105" i="1"/>
  <c r="P44" i="1"/>
  <c r="N44" i="1"/>
  <c r="Q270" i="1"/>
  <c r="N270" i="1"/>
  <c r="P32" i="1"/>
  <c r="N32" i="1"/>
  <c r="P14" i="1"/>
  <c r="N14" i="1"/>
  <c r="Q192" i="1"/>
  <c r="S192" i="1"/>
  <c r="N192" i="1"/>
  <c r="Q180" i="1"/>
  <c r="S180" i="1"/>
  <c r="N180" i="1"/>
  <c r="Q168" i="1"/>
  <c r="T168" i="1"/>
  <c r="S168" i="1"/>
  <c r="N168" i="1"/>
  <c r="P124" i="1"/>
  <c r="N124" i="1"/>
  <c r="P22" i="1"/>
  <c r="N22" i="1"/>
  <c r="U274" i="1"/>
  <c r="S175" i="1"/>
  <c r="R274" i="1"/>
  <c r="O277" i="1"/>
  <c r="T277" i="1"/>
  <c r="R277" i="1"/>
  <c r="P277" i="1"/>
  <c r="N277" i="1"/>
  <c r="Q268" i="1"/>
  <c r="N268" i="1"/>
  <c r="R268" i="1"/>
  <c r="P257" i="1"/>
  <c r="N257" i="1"/>
  <c r="S257" i="1"/>
  <c r="R257" i="1"/>
  <c r="O257" i="1"/>
  <c r="P225" i="1"/>
  <c r="R225" i="1"/>
  <c r="N225" i="1"/>
  <c r="P185" i="1"/>
  <c r="N185" i="1"/>
  <c r="R185" i="1"/>
  <c r="Q160" i="1"/>
  <c r="P160" i="1"/>
  <c r="O160" i="1"/>
  <c r="T160" i="1"/>
  <c r="N160" i="1"/>
  <c r="S160" i="1"/>
  <c r="R160" i="1"/>
  <c r="P157" i="1"/>
  <c r="R157" i="1"/>
  <c r="N157" i="1"/>
  <c r="P96" i="1"/>
  <c r="R96" i="1"/>
  <c r="N96" i="1"/>
  <c r="P87" i="1"/>
  <c r="R87" i="1"/>
  <c r="N87" i="1"/>
  <c r="Q49" i="1"/>
  <c r="S49" i="1"/>
  <c r="R49" i="1"/>
  <c r="O49" i="1"/>
  <c r="N49" i="1"/>
  <c r="Q28" i="1"/>
  <c r="O28" i="1"/>
  <c r="N28" i="1"/>
  <c r="S28" i="1"/>
  <c r="R28" i="1"/>
  <c r="P25" i="1"/>
  <c r="R25" i="1"/>
  <c r="N25" i="1"/>
  <c r="O276" i="1"/>
  <c r="T276" i="1"/>
  <c r="R276" i="1"/>
  <c r="P276" i="1"/>
  <c r="N276" i="1"/>
  <c r="P221" i="1"/>
  <c r="N221" i="1"/>
  <c r="R221" i="1"/>
  <c r="P188" i="1"/>
  <c r="R188" i="1"/>
  <c r="Q188" i="1"/>
  <c r="O188" i="1"/>
  <c r="U188" i="1"/>
  <c r="N188" i="1"/>
  <c r="S188" i="1"/>
  <c r="P164" i="1"/>
  <c r="R164" i="1"/>
  <c r="N164" i="1"/>
  <c r="O108" i="1"/>
  <c r="R108" i="1"/>
  <c r="N108" i="1"/>
  <c r="P86" i="1"/>
  <c r="R86" i="1"/>
  <c r="N86" i="1"/>
  <c r="P73" i="1"/>
  <c r="R73" i="1"/>
  <c r="N73" i="1"/>
  <c r="Q64" i="1"/>
  <c r="N64" i="1"/>
  <c r="S64" i="1"/>
  <c r="R64" i="1"/>
  <c r="O64" i="1"/>
  <c r="P55" i="1"/>
  <c r="R55" i="1"/>
  <c r="N55" i="1"/>
  <c r="P38" i="1"/>
  <c r="R38" i="1"/>
  <c r="N38" i="1"/>
  <c r="Q33" i="1"/>
  <c r="O33" i="1"/>
  <c r="N33" i="1"/>
  <c r="S33" i="1"/>
  <c r="R33" i="1"/>
  <c r="Q31" i="1"/>
  <c r="S31" i="1"/>
  <c r="R31" i="1"/>
  <c r="O31" i="1"/>
  <c r="N31" i="1"/>
  <c r="Q27" i="1"/>
  <c r="O27" i="1"/>
  <c r="N27" i="1"/>
  <c r="S27" i="1"/>
  <c r="R27" i="1"/>
  <c r="P24" i="1"/>
  <c r="R24" i="1"/>
  <c r="N24" i="1"/>
  <c r="Q21" i="1"/>
  <c r="O21" i="1"/>
  <c r="N21" i="1"/>
  <c r="S21" i="1"/>
  <c r="R21" i="1"/>
  <c r="P16" i="1"/>
  <c r="R16" i="1"/>
  <c r="N16" i="1"/>
  <c r="P272" i="1"/>
  <c r="U269" i="1"/>
  <c r="Q269" i="1"/>
  <c r="U272" i="1"/>
  <c r="R269" i="1"/>
  <c r="Q272" i="1"/>
  <c r="S269" i="1"/>
  <c r="O269" i="1"/>
  <c r="T269" i="1"/>
  <c r="P269" i="1"/>
  <c r="O253" i="1"/>
  <c r="R253" i="1"/>
  <c r="N253" i="1"/>
  <c r="P194" i="1"/>
  <c r="R194" i="1"/>
  <c r="N194" i="1"/>
  <c r="P191" i="1"/>
  <c r="N191" i="1"/>
  <c r="R191" i="1"/>
  <c r="Q171" i="1"/>
  <c r="N171" i="1"/>
  <c r="S171" i="1"/>
  <c r="R171" i="1"/>
  <c r="P171" i="1"/>
  <c r="O171" i="1"/>
  <c r="T171" i="1"/>
  <c r="P167" i="1"/>
  <c r="R167" i="1"/>
  <c r="N167" i="1"/>
  <c r="P80" i="1"/>
  <c r="R80" i="1"/>
  <c r="N80" i="1"/>
  <c r="P72" i="1"/>
  <c r="R72" i="1"/>
  <c r="N72" i="1"/>
  <c r="P46" i="1"/>
  <c r="R46" i="1"/>
  <c r="N46" i="1"/>
  <c r="P37" i="1"/>
  <c r="R37" i="1"/>
  <c r="N37" i="1"/>
  <c r="O275" i="1"/>
  <c r="R275" i="1"/>
  <c r="P275" i="1"/>
  <c r="N275" i="1"/>
  <c r="U275" i="1"/>
  <c r="T275" i="1"/>
  <c r="O256" i="1"/>
  <c r="R256" i="1"/>
  <c r="N256" i="1"/>
  <c r="U256" i="1"/>
  <c r="Q189" i="1"/>
  <c r="P189" i="1"/>
  <c r="O189" i="1"/>
  <c r="T189" i="1"/>
  <c r="N189" i="1"/>
  <c r="S189" i="1"/>
  <c r="R189" i="1"/>
  <c r="P126" i="1"/>
  <c r="S126" i="1"/>
  <c r="R126" i="1"/>
  <c r="N126" i="1"/>
  <c r="O110" i="1"/>
  <c r="N110" i="1"/>
  <c r="R110" i="1"/>
  <c r="P92" i="1"/>
  <c r="R92" i="1"/>
  <c r="N92" i="1"/>
  <c r="Q66" i="1"/>
  <c r="O66" i="1"/>
  <c r="N66" i="1"/>
  <c r="S66" i="1"/>
  <c r="R66" i="1"/>
  <c r="P63" i="1"/>
  <c r="R63" i="1"/>
  <c r="N63" i="1"/>
  <c r="Q50" i="1"/>
  <c r="S50" i="1"/>
  <c r="R50" i="1"/>
  <c r="O50" i="1"/>
  <c r="N50" i="1"/>
  <c r="P36" i="1"/>
  <c r="R36" i="1"/>
  <c r="N36" i="1"/>
  <c r="P12" i="1"/>
  <c r="R12" i="1"/>
  <c r="N12" i="1"/>
  <c r="R279" i="1"/>
  <c r="T278" i="1"/>
  <c r="P175" i="1"/>
  <c r="P168" i="1"/>
  <c r="R76" i="1"/>
  <c r="S56" i="1"/>
  <c r="R48" i="1"/>
  <c r="R22" i="1"/>
  <c r="R18" i="1"/>
  <c r="T279" i="1"/>
  <c r="T274" i="1"/>
  <c r="R270" i="1"/>
  <c r="T192" i="1"/>
  <c r="O192" i="1"/>
  <c r="T180" i="1"/>
  <c r="O180" i="1"/>
  <c r="R175" i="1"/>
  <c r="R168" i="1"/>
  <c r="P192" i="1"/>
  <c r="P180" i="1"/>
  <c r="S154" i="1"/>
  <c r="R124" i="1"/>
  <c r="R75" i="1"/>
  <c r="R61" i="1"/>
  <c r="R58" i="1"/>
  <c r="O56" i="1"/>
  <c r="R44" i="1"/>
  <c r="R40" i="1"/>
  <c r="R32" i="1"/>
  <c r="R14" i="1"/>
  <c r="P279" i="1"/>
  <c r="R192" i="1"/>
  <c r="R180" i="1"/>
  <c r="T175" i="1"/>
  <c r="O175" i="1"/>
  <c r="O168" i="1"/>
  <c r="S124" i="1"/>
  <c r="R105" i="1"/>
  <c r="R56" i="1"/>
  <c r="P280" i="1"/>
  <c r="T280" i="1"/>
  <c r="O280" i="1"/>
  <c r="S280" i="1"/>
  <c r="N280" i="1"/>
  <c r="R280" i="1"/>
  <c r="Q280" i="1"/>
  <c r="U280" i="1"/>
  <c r="P267" i="1"/>
  <c r="T267" i="1"/>
  <c r="O267" i="1"/>
  <c r="S267" i="1"/>
  <c r="N267" i="1"/>
  <c r="R267" i="1"/>
  <c r="Q267" i="1"/>
  <c r="U267" i="1"/>
  <c r="Q263" i="1"/>
  <c r="U263" i="1"/>
  <c r="P263" i="1"/>
  <c r="T263" i="1"/>
  <c r="O263" i="1"/>
  <c r="S263" i="1"/>
  <c r="N263" i="1"/>
  <c r="R263" i="1"/>
  <c r="Q259" i="1"/>
  <c r="U259" i="1"/>
  <c r="P259" i="1"/>
  <c r="T259" i="1"/>
  <c r="O259" i="1"/>
  <c r="S259" i="1"/>
  <c r="N259" i="1"/>
  <c r="R259" i="1"/>
  <c r="Q255" i="1"/>
  <c r="U255" i="1"/>
  <c r="P255" i="1"/>
  <c r="T255" i="1"/>
  <c r="O255" i="1"/>
  <c r="S255" i="1"/>
  <c r="N255" i="1"/>
  <c r="R255" i="1"/>
  <c r="P249" i="1"/>
  <c r="T249" i="1"/>
  <c r="O249" i="1"/>
  <c r="S249" i="1"/>
  <c r="N249" i="1"/>
  <c r="R249" i="1"/>
  <c r="Q249" i="1"/>
  <c r="U249" i="1"/>
  <c r="O243" i="1"/>
  <c r="S243" i="1"/>
  <c r="N243" i="1"/>
  <c r="R243" i="1"/>
  <c r="Q243" i="1"/>
  <c r="U243" i="1"/>
  <c r="P243" i="1"/>
  <c r="T243" i="1"/>
  <c r="N239" i="1"/>
  <c r="R239" i="1"/>
  <c r="Q239" i="1"/>
  <c r="U239" i="1"/>
  <c r="P239" i="1"/>
  <c r="T239" i="1"/>
  <c r="O239" i="1"/>
  <c r="S239" i="1"/>
  <c r="O196" i="1"/>
  <c r="S196" i="1"/>
  <c r="N196" i="1"/>
  <c r="R196" i="1"/>
  <c r="Q196" i="1"/>
  <c r="U196" i="1"/>
  <c r="P196" i="1"/>
  <c r="T196" i="1"/>
  <c r="O190" i="1"/>
  <c r="S190" i="1"/>
  <c r="N190" i="1"/>
  <c r="R190" i="1"/>
  <c r="Q190" i="1"/>
  <c r="U190" i="1"/>
  <c r="P190" i="1"/>
  <c r="T190" i="1"/>
  <c r="N181" i="1"/>
  <c r="R181" i="1"/>
  <c r="Q181" i="1"/>
  <c r="U181" i="1"/>
  <c r="P181" i="1"/>
  <c r="T181" i="1"/>
  <c r="O181" i="1"/>
  <c r="S181" i="1"/>
  <c r="O174" i="1"/>
  <c r="S174" i="1"/>
  <c r="N174" i="1"/>
  <c r="R174" i="1"/>
  <c r="Q174" i="1"/>
  <c r="U174" i="1"/>
  <c r="P174" i="1"/>
  <c r="T174" i="1"/>
  <c r="N165" i="1"/>
  <c r="R165" i="1"/>
  <c r="Q165" i="1"/>
  <c r="U165" i="1"/>
  <c r="P165" i="1"/>
  <c r="T165" i="1"/>
  <c r="O165" i="1"/>
  <c r="S165" i="1"/>
  <c r="O158" i="1"/>
  <c r="S158" i="1"/>
  <c r="N158" i="1"/>
  <c r="R158" i="1"/>
  <c r="Q158" i="1"/>
  <c r="U158" i="1"/>
  <c r="P158" i="1"/>
  <c r="T158" i="1"/>
  <c r="N156" i="1"/>
  <c r="R156" i="1"/>
  <c r="Q156" i="1"/>
  <c r="U156" i="1"/>
  <c r="P156" i="1"/>
  <c r="T156" i="1"/>
  <c r="O156" i="1"/>
  <c r="S156" i="1"/>
  <c r="Q297" i="1"/>
  <c r="U297" i="1"/>
  <c r="P297" i="1"/>
  <c r="T297" i="1"/>
  <c r="O297" i="1"/>
  <c r="S297" i="1"/>
  <c r="N297" i="1"/>
  <c r="R297" i="1"/>
  <c r="O264" i="1"/>
  <c r="S264" i="1"/>
  <c r="N264" i="1"/>
  <c r="R264" i="1"/>
  <c r="Q264" i="1"/>
  <c r="U264" i="1"/>
  <c r="P264" i="1"/>
  <c r="T264" i="1"/>
  <c r="O260" i="1"/>
  <c r="S260" i="1"/>
  <c r="N260" i="1"/>
  <c r="R260" i="1"/>
  <c r="Q260" i="1"/>
  <c r="U260" i="1"/>
  <c r="P260" i="1"/>
  <c r="T260" i="1"/>
  <c r="Q258" i="1"/>
  <c r="U258" i="1"/>
  <c r="P258" i="1"/>
  <c r="T258" i="1"/>
  <c r="O258" i="1"/>
  <c r="S258" i="1"/>
  <c r="N258" i="1"/>
  <c r="R258" i="1"/>
  <c r="Q254" i="1"/>
  <c r="U254" i="1"/>
  <c r="P254" i="1"/>
  <c r="T254" i="1"/>
  <c r="O254" i="1"/>
  <c r="S254" i="1"/>
  <c r="N254" i="1"/>
  <c r="R254" i="1"/>
  <c r="N250" i="1"/>
  <c r="R250" i="1"/>
  <c r="Q250" i="1"/>
  <c r="U250" i="1"/>
  <c r="P250" i="1"/>
  <c r="T250" i="1"/>
  <c r="O250" i="1"/>
  <c r="S250" i="1"/>
  <c r="N195" i="1"/>
  <c r="R195" i="1"/>
  <c r="Q195" i="1"/>
  <c r="U195" i="1"/>
  <c r="P195" i="1"/>
  <c r="T195" i="1"/>
  <c r="O195" i="1"/>
  <c r="S195" i="1"/>
  <c r="N184" i="1"/>
  <c r="R184" i="1"/>
  <c r="Q184" i="1"/>
  <c r="U184" i="1"/>
  <c r="P184" i="1"/>
  <c r="T184" i="1"/>
  <c r="O184" i="1"/>
  <c r="S184" i="1"/>
  <c r="O183" i="1"/>
  <c r="S183" i="1"/>
  <c r="N183" i="1"/>
  <c r="R183" i="1"/>
  <c r="Q183" i="1"/>
  <c r="U183" i="1"/>
  <c r="P183" i="1"/>
  <c r="T183" i="1"/>
  <c r="O176" i="1"/>
  <c r="S176" i="1"/>
  <c r="N176" i="1"/>
  <c r="R176" i="1"/>
  <c r="Q176" i="1"/>
  <c r="U176" i="1"/>
  <c r="P176" i="1"/>
  <c r="T176" i="1"/>
  <c r="O169" i="1"/>
  <c r="S169" i="1"/>
  <c r="N169" i="1"/>
  <c r="R169" i="1"/>
  <c r="Q169" i="1"/>
  <c r="U169" i="1"/>
  <c r="P169" i="1"/>
  <c r="T169" i="1"/>
  <c r="N161" i="1"/>
  <c r="R161" i="1"/>
  <c r="Q161" i="1"/>
  <c r="U161" i="1"/>
  <c r="P161" i="1"/>
  <c r="T161" i="1"/>
  <c r="O161" i="1"/>
  <c r="S161" i="1"/>
  <c r="N155" i="1"/>
  <c r="R155" i="1"/>
  <c r="Q155" i="1"/>
  <c r="U155" i="1"/>
  <c r="P155" i="1"/>
  <c r="T155" i="1"/>
  <c r="O155" i="1"/>
  <c r="S155" i="1"/>
  <c r="Q261" i="1"/>
  <c r="U261" i="1"/>
  <c r="P261" i="1"/>
  <c r="T261" i="1"/>
  <c r="O261" i="1"/>
  <c r="S261" i="1"/>
  <c r="N261" i="1"/>
  <c r="R261" i="1"/>
  <c r="P251" i="1"/>
  <c r="T251" i="1"/>
  <c r="O251" i="1"/>
  <c r="S251" i="1"/>
  <c r="N251" i="1"/>
  <c r="R251" i="1"/>
  <c r="Q251" i="1"/>
  <c r="U251" i="1"/>
  <c r="P247" i="1"/>
  <c r="T247" i="1"/>
  <c r="O247" i="1"/>
  <c r="S247" i="1"/>
  <c r="N247" i="1"/>
  <c r="R247" i="1"/>
  <c r="Q247" i="1"/>
  <c r="U247" i="1"/>
  <c r="O241" i="1"/>
  <c r="S241" i="1"/>
  <c r="N241" i="1"/>
  <c r="R241" i="1"/>
  <c r="Q241" i="1"/>
  <c r="U241" i="1"/>
  <c r="P241" i="1"/>
  <c r="T241" i="1"/>
  <c r="N186" i="1"/>
  <c r="R186" i="1"/>
  <c r="Q186" i="1"/>
  <c r="U186" i="1"/>
  <c r="P186" i="1"/>
  <c r="T186" i="1"/>
  <c r="O186" i="1"/>
  <c r="S186" i="1"/>
  <c r="O182" i="1"/>
  <c r="S182" i="1"/>
  <c r="N182" i="1"/>
  <c r="R182" i="1"/>
  <c r="Q182" i="1"/>
  <c r="U182" i="1"/>
  <c r="P182" i="1"/>
  <c r="T182" i="1"/>
  <c r="N173" i="1"/>
  <c r="R173" i="1"/>
  <c r="Q173" i="1"/>
  <c r="U173" i="1"/>
  <c r="P173" i="1"/>
  <c r="T173" i="1"/>
  <c r="O173" i="1"/>
  <c r="S173" i="1"/>
  <c r="O172" i="1"/>
  <c r="S172" i="1"/>
  <c r="N172" i="1"/>
  <c r="R172" i="1"/>
  <c r="Q172" i="1"/>
  <c r="U172" i="1"/>
  <c r="P172" i="1"/>
  <c r="T172" i="1"/>
  <c r="O166" i="1"/>
  <c r="S166" i="1"/>
  <c r="N166" i="1"/>
  <c r="R166" i="1"/>
  <c r="Q166" i="1"/>
  <c r="U166" i="1"/>
  <c r="P166" i="1"/>
  <c r="T166" i="1"/>
  <c r="P290" i="1"/>
  <c r="T290" i="1"/>
  <c r="O290" i="1"/>
  <c r="S290" i="1"/>
  <c r="N290" i="1"/>
  <c r="R290" i="1"/>
  <c r="Q290" i="1"/>
  <c r="U290" i="1"/>
  <c r="N273" i="1"/>
  <c r="R273" i="1"/>
  <c r="Q273" i="1"/>
  <c r="U273" i="1"/>
  <c r="P273" i="1"/>
  <c r="T273" i="1"/>
  <c r="O273" i="1"/>
  <c r="S273" i="1"/>
  <c r="O271" i="1"/>
  <c r="S271" i="1"/>
  <c r="N271" i="1"/>
  <c r="R271" i="1"/>
  <c r="Q271" i="1"/>
  <c r="U271" i="1"/>
  <c r="P271" i="1"/>
  <c r="T271" i="1"/>
  <c r="N266" i="1"/>
  <c r="R266" i="1"/>
  <c r="Q266" i="1"/>
  <c r="U266" i="1"/>
  <c r="P266" i="1"/>
  <c r="T266" i="1"/>
  <c r="O266" i="1"/>
  <c r="S266" i="1"/>
  <c r="O262" i="1"/>
  <c r="S262" i="1"/>
  <c r="N262" i="1"/>
  <c r="R262" i="1"/>
  <c r="Q262" i="1"/>
  <c r="U262" i="1"/>
  <c r="P262" i="1"/>
  <c r="T262" i="1"/>
  <c r="N252" i="1"/>
  <c r="R252" i="1"/>
  <c r="Q252" i="1"/>
  <c r="U252" i="1"/>
  <c r="P252" i="1"/>
  <c r="T252" i="1"/>
  <c r="O252" i="1"/>
  <c r="S252" i="1"/>
  <c r="N248" i="1"/>
  <c r="R248" i="1"/>
  <c r="Q248" i="1"/>
  <c r="U248" i="1"/>
  <c r="P248" i="1"/>
  <c r="T248" i="1"/>
  <c r="O248" i="1"/>
  <c r="S248" i="1"/>
  <c r="Q242" i="1"/>
  <c r="U242" i="1"/>
  <c r="P242" i="1"/>
  <c r="T242" i="1"/>
  <c r="O242" i="1"/>
  <c r="S242" i="1"/>
  <c r="N242" i="1"/>
  <c r="R242" i="1"/>
  <c r="O193" i="1"/>
  <c r="S193" i="1"/>
  <c r="N193" i="1"/>
  <c r="R193" i="1"/>
  <c r="Q193" i="1"/>
  <c r="U193" i="1"/>
  <c r="P193" i="1"/>
  <c r="T193" i="1"/>
  <c r="N163" i="1"/>
  <c r="R163" i="1"/>
  <c r="Q163" i="1"/>
  <c r="U163" i="1"/>
  <c r="P163" i="1"/>
  <c r="T163" i="1"/>
  <c r="O163" i="1"/>
  <c r="S163" i="1"/>
  <c r="O162" i="1"/>
  <c r="S162" i="1"/>
  <c r="N162" i="1"/>
  <c r="R162" i="1"/>
  <c r="Q162" i="1"/>
  <c r="U162" i="1"/>
  <c r="P162" i="1"/>
  <c r="T162" i="1"/>
  <c r="O159" i="1"/>
  <c r="S159" i="1"/>
  <c r="N159" i="1"/>
  <c r="R159" i="1"/>
  <c r="Q159" i="1"/>
  <c r="U159" i="1"/>
  <c r="P159" i="1"/>
  <c r="T159" i="1"/>
  <c r="Q152" i="1"/>
  <c r="U152" i="1"/>
  <c r="P152" i="1"/>
  <c r="T152" i="1"/>
  <c r="O152" i="1"/>
  <c r="S152" i="1"/>
  <c r="N152" i="1"/>
  <c r="R152" i="1"/>
  <c r="O150" i="1"/>
  <c r="S150" i="1"/>
  <c r="N150" i="1"/>
  <c r="R150" i="1"/>
  <c r="Q150" i="1"/>
  <c r="U150" i="1"/>
  <c r="P150" i="1"/>
  <c r="T150" i="1"/>
  <c r="N136" i="1"/>
  <c r="R136" i="1"/>
  <c r="Q136" i="1"/>
  <c r="U136" i="1"/>
  <c r="P136" i="1"/>
  <c r="T136" i="1"/>
  <c r="O136" i="1"/>
  <c r="S136" i="1"/>
  <c r="N127" i="1"/>
  <c r="R127" i="1"/>
  <c r="Q127" i="1"/>
  <c r="U127" i="1"/>
  <c r="P127" i="1"/>
  <c r="T127" i="1"/>
  <c r="O127" i="1"/>
  <c r="S127" i="1"/>
  <c r="Q104" i="1"/>
  <c r="U104" i="1"/>
  <c r="P104" i="1"/>
  <c r="T104" i="1"/>
  <c r="O104" i="1"/>
  <c r="S104" i="1"/>
  <c r="N104" i="1"/>
  <c r="R104" i="1"/>
  <c r="N98" i="1"/>
  <c r="R98" i="1"/>
  <c r="Q98" i="1"/>
  <c r="U98" i="1"/>
  <c r="P98" i="1"/>
  <c r="T98" i="1"/>
  <c r="O98" i="1"/>
  <c r="S98" i="1"/>
  <c r="N94" i="1"/>
  <c r="R94" i="1"/>
  <c r="Q94" i="1"/>
  <c r="U94" i="1"/>
  <c r="P94" i="1"/>
  <c r="T94" i="1"/>
  <c r="O94" i="1"/>
  <c r="S94" i="1"/>
  <c r="N83" i="1"/>
  <c r="R83" i="1"/>
  <c r="Q83" i="1"/>
  <c r="U83" i="1"/>
  <c r="P83" i="1"/>
  <c r="T83" i="1"/>
  <c r="O83" i="1"/>
  <c r="S83" i="1"/>
  <c r="O82" i="1"/>
  <c r="S82" i="1"/>
  <c r="N82" i="1"/>
  <c r="R82" i="1"/>
  <c r="Q82" i="1"/>
  <c r="U82" i="1"/>
  <c r="P82" i="1"/>
  <c r="T82" i="1"/>
  <c r="N79" i="1"/>
  <c r="R79" i="1"/>
  <c r="Q79" i="1"/>
  <c r="U79" i="1"/>
  <c r="P79" i="1"/>
  <c r="T79" i="1"/>
  <c r="O79" i="1"/>
  <c r="S79" i="1"/>
  <c r="O65" i="1"/>
  <c r="S65" i="1"/>
  <c r="N65" i="1"/>
  <c r="R65" i="1"/>
  <c r="Q65" i="1"/>
  <c r="U65" i="1"/>
  <c r="P65" i="1"/>
  <c r="T65" i="1"/>
  <c r="N62" i="1"/>
  <c r="R62" i="1"/>
  <c r="Q62" i="1"/>
  <c r="U62" i="1"/>
  <c r="P62" i="1"/>
  <c r="T62" i="1"/>
  <c r="O62" i="1"/>
  <c r="S62" i="1"/>
  <c r="N59" i="1"/>
  <c r="R59" i="1"/>
  <c r="Q59" i="1"/>
  <c r="U59" i="1"/>
  <c r="P59" i="1"/>
  <c r="T59" i="1"/>
  <c r="O59" i="1"/>
  <c r="S59" i="1"/>
  <c r="O52" i="1"/>
  <c r="S52" i="1"/>
  <c r="N52" i="1"/>
  <c r="R52" i="1"/>
  <c r="Q52" i="1"/>
  <c r="U52" i="1"/>
  <c r="P52" i="1"/>
  <c r="T52" i="1"/>
  <c r="N45" i="1"/>
  <c r="R45" i="1"/>
  <c r="Q45" i="1"/>
  <c r="U45" i="1"/>
  <c r="P45" i="1"/>
  <c r="T45" i="1"/>
  <c r="O45" i="1"/>
  <c r="S45" i="1"/>
  <c r="N41" i="1"/>
  <c r="R41" i="1"/>
  <c r="Q41" i="1"/>
  <c r="U41" i="1"/>
  <c r="P41" i="1"/>
  <c r="T41" i="1"/>
  <c r="O41" i="1"/>
  <c r="S41" i="1"/>
  <c r="N34" i="1"/>
  <c r="R34" i="1"/>
  <c r="Q34" i="1"/>
  <c r="U34" i="1"/>
  <c r="P34" i="1"/>
  <c r="T34" i="1"/>
  <c r="O34" i="1"/>
  <c r="S34" i="1"/>
  <c r="O20" i="1"/>
  <c r="S20" i="1"/>
  <c r="N20" i="1"/>
  <c r="R20" i="1"/>
  <c r="Q20" i="1"/>
  <c r="U20" i="1"/>
  <c r="P20" i="1"/>
  <c r="T20" i="1"/>
  <c r="N15" i="1"/>
  <c r="R15" i="1"/>
  <c r="Q15" i="1"/>
  <c r="U15" i="1"/>
  <c r="P15" i="1"/>
  <c r="T15" i="1"/>
  <c r="O15" i="1"/>
  <c r="S15" i="1"/>
  <c r="U257" i="1"/>
  <c r="Q257" i="1"/>
  <c r="T256" i="1"/>
  <c r="P256" i="1"/>
  <c r="T253" i="1"/>
  <c r="P253" i="1"/>
  <c r="U225" i="1"/>
  <c r="Q225" i="1"/>
  <c r="U221" i="1"/>
  <c r="Q221" i="1"/>
  <c r="U194" i="1"/>
  <c r="Q194" i="1"/>
  <c r="U191" i="1"/>
  <c r="Q191" i="1"/>
  <c r="U185" i="1"/>
  <c r="Q185" i="1"/>
  <c r="U167" i="1"/>
  <c r="Q167" i="1"/>
  <c r="U164" i="1"/>
  <c r="Q164" i="1"/>
  <c r="U157" i="1"/>
  <c r="Q157" i="1"/>
  <c r="R154" i="1"/>
  <c r="Q151" i="1"/>
  <c r="U151" i="1"/>
  <c r="P151" i="1"/>
  <c r="T151" i="1"/>
  <c r="O151" i="1"/>
  <c r="S151" i="1"/>
  <c r="N151" i="1"/>
  <c r="R151" i="1"/>
  <c r="N139" i="1"/>
  <c r="R139" i="1"/>
  <c r="Q139" i="1"/>
  <c r="U139" i="1"/>
  <c r="P139" i="1"/>
  <c r="T139" i="1"/>
  <c r="O139" i="1"/>
  <c r="S139" i="1"/>
  <c r="Q122" i="1"/>
  <c r="U122" i="1"/>
  <c r="P122" i="1"/>
  <c r="T122" i="1"/>
  <c r="O122" i="1"/>
  <c r="S122" i="1"/>
  <c r="N122" i="1"/>
  <c r="R122" i="1"/>
  <c r="Q109" i="1"/>
  <c r="U109" i="1"/>
  <c r="P109" i="1"/>
  <c r="T109" i="1"/>
  <c r="O109" i="1"/>
  <c r="S109" i="1"/>
  <c r="N109" i="1"/>
  <c r="R109" i="1"/>
  <c r="Q106" i="1"/>
  <c r="U106" i="1"/>
  <c r="P106" i="1"/>
  <c r="T106" i="1"/>
  <c r="O106" i="1"/>
  <c r="S106" i="1"/>
  <c r="N106" i="1"/>
  <c r="R106" i="1"/>
  <c r="O100" i="1"/>
  <c r="S100" i="1"/>
  <c r="N100" i="1"/>
  <c r="R100" i="1"/>
  <c r="Q100" i="1"/>
  <c r="U100" i="1"/>
  <c r="P100" i="1"/>
  <c r="T100" i="1"/>
  <c r="O54" i="1"/>
  <c r="S54" i="1"/>
  <c r="N54" i="1"/>
  <c r="R54" i="1"/>
  <c r="Q54" i="1"/>
  <c r="U54" i="1"/>
  <c r="P54" i="1"/>
  <c r="T54" i="1"/>
  <c r="N47" i="1"/>
  <c r="R47" i="1"/>
  <c r="Q47" i="1"/>
  <c r="U47" i="1"/>
  <c r="P47" i="1"/>
  <c r="T47" i="1"/>
  <c r="O47" i="1"/>
  <c r="S47" i="1"/>
  <c r="N26" i="1"/>
  <c r="R26" i="1"/>
  <c r="Q26" i="1"/>
  <c r="U26" i="1"/>
  <c r="P26" i="1"/>
  <c r="T26" i="1"/>
  <c r="O26" i="1"/>
  <c r="S26" i="1"/>
  <c r="O23" i="1"/>
  <c r="S23" i="1"/>
  <c r="N23" i="1"/>
  <c r="R23" i="1"/>
  <c r="Q23" i="1"/>
  <c r="U23" i="1"/>
  <c r="P23" i="1"/>
  <c r="T23" i="1"/>
  <c r="N17" i="1"/>
  <c r="R17" i="1"/>
  <c r="Q17" i="1"/>
  <c r="U17" i="1"/>
  <c r="P17" i="1"/>
  <c r="T17" i="1"/>
  <c r="O17" i="1"/>
  <c r="S17" i="1"/>
  <c r="U279" i="1"/>
  <c r="Q279" i="1"/>
  <c r="S278" i="1"/>
  <c r="O278" i="1"/>
  <c r="U277" i="1"/>
  <c r="Q277" i="1"/>
  <c r="U276" i="1"/>
  <c r="Q276" i="1"/>
  <c r="Q275" i="1"/>
  <c r="Q274" i="1"/>
  <c r="R272" i="1"/>
  <c r="N272" i="1"/>
  <c r="N269" i="1"/>
  <c r="S270" i="1"/>
  <c r="O270" i="1"/>
  <c r="S268" i="1"/>
  <c r="O268" i="1"/>
  <c r="Q256" i="1"/>
  <c r="U253" i="1"/>
  <c r="Q253" i="1"/>
  <c r="Q135" i="1"/>
  <c r="U135" i="1"/>
  <c r="P135" i="1"/>
  <c r="T135" i="1"/>
  <c r="O135" i="1"/>
  <c r="S135" i="1"/>
  <c r="N135" i="1"/>
  <c r="R135" i="1"/>
  <c r="N133" i="1"/>
  <c r="R133" i="1"/>
  <c r="Q133" i="1"/>
  <c r="U133" i="1"/>
  <c r="P133" i="1"/>
  <c r="T133" i="1"/>
  <c r="O133" i="1"/>
  <c r="S133" i="1"/>
  <c r="P103" i="1"/>
  <c r="T103" i="1"/>
  <c r="O103" i="1"/>
  <c r="S103" i="1"/>
  <c r="N103" i="1"/>
  <c r="R103" i="1"/>
  <c r="Q103" i="1"/>
  <c r="U103" i="1"/>
  <c r="O95" i="1"/>
  <c r="S95" i="1"/>
  <c r="N95" i="1"/>
  <c r="R95" i="1"/>
  <c r="Q95" i="1"/>
  <c r="U95" i="1"/>
  <c r="P95" i="1"/>
  <c r="T95" i="1"/>
  <c r="N85" i="1"/>
  <c r="R85" i="1"/>
  <c r="Q85" i="1"/>
  <c r="U85" i="1"/>
  <c r="P85" i="1"/>
  <c r="T85" i="1"/>
  <c r="O85" i="1"/>
  <c r="S85" i="1"/>
  <c r="Q78" i="1"/>
  <c r="U78" i="1"/>
  <c r="P78" i="1"/>
  <c r="T78" i="1"/>
  <c r="O78" i="1"/>
  <c r="S78" i="1"/>
  <c r="N78" i="1"/>
  <c r="R78" i="1"/>
  <c r="O57" i="1"/>
  <c r="S57" i="1"/>
  <c r="N57" i="1"/>
  <c r="R57" i="1"/>
  <c r="Q57" i="1"/>
  <c r="U57" i="1"/>
  <c r="P57" i="1"/>
  <c r="T57" i="1"/>
  <c r="O53" i="1"/>
  <c r="S53" i="1"/>
  <c r="N53" i="1"/>
  <c r="R53" i="1"/>
  <c r="Q53" i="1"/>
  <c r="U53" i="1"/>
  <c r="P53" i="1"/>
  <c r="T53" i="1"/>
  <c r="N51" i="1"/>
  <c r="R51" i="1"/>
  <c r="Q51" i="1"/>
  <c r="U51" i="1"/>
  <c r="P51" i="1"/>
  <c r="T51" i="1"/>
  <c r="O51" i="1"/>
  <c r="S51" i="1"/>
  <c r="O30" i="1"/>
  <c r="S30" i="1"/>
  <c r="N30" i="1"/>
  <c r="R30" i="1"/>
  <c r="Q30" i="1"/>
  <c r="U30" i="1"/>
  <c r="P30" i="1"/>
  <c r="T30" i="1"/>
  <c r="N19" i="1"/>
  <c r="R19" i="1"/>
  <c r="Q19" i="1"/>
  <c r="U19" i="1"/>
  <c r="P19" i="1"/>
  <c r="T19" i="1"/>
  <c r="O19" i="1"/>
  <c r="S19" i="1"/>
  <c r="N11" i="1"/>
  <c r="R11" i="1"/>
  <c r="Q11" i="1"/>
  <c r="U11" i="1"/>
  <c r="P11" i="1"/>
  <c r="T11" i="1"/>
  <c r="O11" i="1"/>
  <c r="S11" i="1"/>
  <c r="P278" i="1"/>
  <c r="S272" i="1"/>
  <c r="O272" i="1"/>
  <c r="T270" i="1"/>
  <c r="P270" i="1"/>
  <c r="T268" i="1"/>
  <c r="P268" i="1"/>
  <c r="S225" i="1"/>
  <c r="O225" i="1"/>
  <c r="S221" i="1"/>
  <c r="O221" i="1"/>
  <c r="S194" i="1"/>
  <c r="O194" i="1"/>
  <c r="S191" i="1"/>
  <c r="O191" i="1"/>
  <c r="S185" i="1"/>
  <c r="O185" i="1"/>
  <c r="S167" i="1"/>
  <c r="O167" i="1"/>
  <c r="S164" i="1"/>
  <c r="O164" i="1"/>
  <c r="S157" i="1"/>
  <c r="O157" i="1"/>
  <c r="T154" i="1"/>
  <c r="P154" i="1"/>
  <c r="Q153" i="1"/>
  <c r="U153" i="1"/>
  <c r="P153" i="1"/>
  <c r="T153" i="1"/>
  <c r="O153" i="1"/>
  <c r="S153" i="1"/>
  <c r="N153" i="1"/>
  <c r="R153" i="1"/>
  <c r="O141" i="1"/>
  <c r="S141" i="1"/>
  <c r="N141" i="1"/>
  <c r="R141" i="1"/>
  <c r="Q141" i="1"/>
  <c r="U141" i="1"/>
  <c r="P141" i="1"/>
  <c r="T141" i="1"/>
  <c r="Q138" i="1"/>
  <c r="U138" i="1"/>
  <c r="P138" i="1"/>
  <c r="T138" i="1"/>
  <c r="O138" i="1"/>
  <c r="S138" i="1"/>
  <c r="N138" i="1"/>
  <c r="R138" i="1"/>
  <c r="N137" i="1"/>
  <c r="R137" i="1"/>
  <c r="Q137" i="1"/>
  <c r="U137" i="1"/>
  <c r="P137" i="1"/>
  <c r="T137" i="1"/>
  <c r="O137" i="1"/>
  <c r="S137" i="1"/>
  <c r="N123" i="1"/>
  <c r="R123" i="1"/>
  <c r="Q123" i="1"/>
  <c r="U123" i="1"/>
  <c r="P123" i="1"/>
  <c r="T123" i="1"/>
  <c r="O123" i="1"/>
  <c r="S123" i="1"/>
  <c r="P111" i="1"/>
  <c r="T111" i="1"/>
  <c r="O111" i="1"/>
  <c r="S111" i="1"/>
  <c r="N111" i="1"/>
  <c r="R111" i="1"/>
  <c r="Q111" i="1"/>
  <c r="U111" i="1"/>
  <c r="N107" i="1"/>
  <c r="R107" i="1"/>
  <c r="Q107" i="1"/>
  <c r="U107" i="1"/>
  <c r="P107" i="1"/>
  <c r="T107" i="1"/>
  <c r="O107" i="1"/>
  <c r="S107" i="1"/>
  <c r="N99" i="1"/>
  <c r="R99" i="1"/>
  <c r="Q99" i="1"/>
  <c r="U99" i="1"/>
  <c r="P99" i="1"/>
  <c r="T99" i="1"/>
  <c r="O99" i="1"/>
  <c r="S99" i="1"/>
  <c r="N93" i="1"/>
  <c r="R93" i="1"/>
  <c r="Q93" i="1"/>
  <c r="U93" i="1"/>
  <c r="P93" i="1"/>
  <c r="T93" i="1"/>
  <c r="O93" i="1"/>
  <c r="S93" i="1"/>
  <c r="N84" i="1"/>
  <c r="R84" i="1"/>
  <c r="Q84" i="1"/>
  <c r="U84" i="1"/>
  <c r="P84" i="1"/>
  <c r="T84" i="1"/>
  <c r="O84" i="1"/>
  <c r="S84" i="1"/>
  <c r="Q77" i="1"/>
  <c r="U77" i="1"/>
  <c r="P77" i="1"/>
  <c r="T77" i="1"/>
  <c r="O77" i="1"/>
  <c r="S77" i="1"/>
  <c r="N77" i="1"/>
  <c r="R77" i="1"/>
  <c r="N74" i="1"/>
  <c r="R74" i="1"/>
  <c r="Q74" i="1"/>
  <c r="U74" i="1"/>
  <c r="P74" i="1"/>
  <c r="T74" i="1"/>
  <c r="O74" i="1"/>
  <c r="S74" i="1"/>
  <c r="O71" i="1"/>
  <c r="S71" i="1"/>
  <c r="N71" i="1"/>
  <c r="R71" i="1"/>
  <c r="Q71" i="1"/>
  <c r="U71" i="1"/>
  <c r="P71" i="1"/>
  <c r="T71" i="1"/>
  <c r="N60" i="1"/>
  <c r="R60" i="1"/>
  <c r="Q60" i="1"/>
  <c r="U60" i="1"/>
  <c r="P60" i="1"/>
  <c r="T60" i="1"/>
  <c r="O60" i="1"/>
  <c r="S60" i="1"/>
  <c r="N43" i="1"/>
  <c r="R43" i="1"/>
  <c r="Q43" i="1"/>
  <c r="U43" i="1"/>
  <c r="P43" i="1"/>
  <c r="T43" i="1"/>
  <c r="O43" i="1"/>
  <c r="S43" i="1"/>
  <c r="N39" i="1"/>
  <c r="R39" i="1"/>
  <c r="Q39" i="1"/>
  <c r="U39" i="1"/>
  <c r="P39" i="1"/>
  <c r="T39" i="1"/>
  <c r="O39" i="1"/>
  <c r="S39" i="1"/>
  <c r="O29" i="1"/>
  <c r="S29" i="1"/>
  <c r="N29" i="1"/>
  <c r="R29" i="1"/>
  <c r="Q29" i="1"/>
  <c r="U29" i="1"/>
  <c r="P29" i="1"/>
  <c r="T29" i="1"/>
  <c r="N13" i="1"/>
  <c r="R13" i="1"/>
  <c r="Q13" i="1"/>
  <c r="U13" i="1"/>
  <c r="P13" i="1"/>
  <c r="T13" i="1"/>
  <c r="O13" i="1"/>
  <c r="S13" i="1"/>
  <c r="S279" i="1"/>
  <c r="U278" i="1"/>
  <c r="S277" i="1"/>
  <c r="S276" i="1"/>
  <c r="S275" i="1"/>
  <c r="S274" i="1"/>
  <c r="T272" i="1"/>
  <c r="U270" i="1"/>
  <c r="U268" i="1"/>
  <c r="T257" i="1"/>
  <c r="S256" i="1"/>
  <c r="S253" i="1"/>
  <c r="T225" i="1"/>
  <c r="T221" i="1"/>
  <c r="T194" i="1"/>
  <c r="U192" i="1"/>
  <c r="T191" i="1"/>
  <c r="U189" i="1"/>
  <c r="T188" i="1"/>
  <c r="T185" i="1"/>
  <c r="U180" i="1"/>
  <c r="U175" i="1"/>
  <c r="U171" i="1"/>
  <c r="U168" i="1"/>
  <c r="T167" i="1"/>
  <c r="T164" i="1"/>
  <c r="U160" i="1"/>
  <c r="T157" i="1"/>
  <c r="U154" i="1"/>
  <c r="Q154" i="1"/>
  <c r="U126" i="1"/>
  <c r="Q126" i="1"/>
  <c r="U124" i="1"/>
  <c r="Q124" i="1"/>
  <c r="T110" i="1"/>
  <c r="P110" i="1"/>
  <c r="T108" i="1"/>
  <c r="P108" i="1"/>
  <c r="T105" i="1"/>
  <c r="P105" i="1"/>
  <c r="U96" i="1"/>
  <c r="Q96" i="1"/>
  <c r="U92" i="1"/>
  <c r="Q92" i="1"/>
  <c r="U87" i="1"/>
  <c r="Q87" i="1"/>
  <c r="U86" i="1"/>
  <c r="Q86" i="1"/>
  <c r="U80" i="1"/>
  <c r="Q80" i="1"/>
  <c r="U76" i="1"/>
  <c r="Q76" i="1"/>
  <c r="U75" i="1"/>
  <c r="Q75" i="1"/>
  <c r="U73" i="1"/>
  <c r="Q73" i="1"/>
  <c r="U72" i="1"/>
  <c r="Q72" i="1"/>
  <c r="U63" i="1"/>
  <c r="Q63" i="1"/>
  <c r="U61" i="1"/>
  <c r="Q61" i="1"/>
  <c r="U58" i="1"/>
  <c r="Q58" i="1"/>
  <c r="U55" i="1"/>
  <c r="Q55" i="1"/>
  <c r="U48" i="1"/>
  <c r="Q48" i="1"/>
  <c r="U46" i="1"/>
  <c r="Q46" i="1"/>
  <c r="U44" i="1"/>
  <c r="Q44" i="1"/>
  <c r="U40" i="1"/>
  <c r="Q40" i="1"/>
  <c r="U38" i="1"/>
  <c r="Q38" i="1"/>
  <c r="U37" i="1"/>
  <c r="Q37" i="1"/>
  <c r="U36" i="1"/>
  <c r="Q36" i="1"/>
  <c r="U32" i="1"/>
  <c r="Q32" i="1"/>
  <c r="U25" i="1"/>
  <c r="Q25" i="1"/>
  <c r="U24" i="1"/>
  <c r="Q24" i="1"/>
  <c r="U22" i="1"/>
  <c r="Q22" i="1"/>
  <c r="U18" i="1"/>
  <c r="Q18" i="1"/>
  <c r="U16" i="1"/>
  <c r="Q16" i="1"/>
  <c r="U14" i="1"/>
  <c r="Q14" i="1"/>
  <c r="U12" i="1"/>
  <c r="Q12" i="1"/>
  <c r="U110" i="1"/>
  <c r="Q110" i="1"/>
  <c r="U108" i="1"/>
  <c r="Q108" i="1"/>
  <c r="U105" i="1"/>
  <c r="Q105" i="1"/>
  <c r="O126" i="1"/>
  <c r="O124" i="1"/>
  <c r="S96" i="1"/>
  <c r="O96" i="1"/>
  <c r="S92" i="1"/>
  <c r="O92" i="1"/>
  <c r="S87" i="1"/>
  <c r="O87" i="1"/>
  <c r="S86" i="1"/>
  <c r="O86" i="1"/>
  <c r="S80" i="1"/>
  <c r="O80" i="1"/>
  <c r="S76" i="1"/>
  <c r="O76" i="1"/>
  <c r="S75" i="1"/>
  <c r="O75" i="1"/>
  <c r="S73" i="1"/>
  <c r="O73" i="1"/>
  <c r="S72" i="1"/>
  <c r="O72" i="1"/>
  <c r="T66" i="1"/>
  <c r="P66" i="1"/>
  <c r="T64" i="1"/>
  <c r="P64" i="1"/>
  <c r="S63" i="1"/>
  <c r="O63" i="1"/>
  <c r="S61" i="1"/>
  <c r="O61" i="1"/>
  <c r="S58" i="1"/>
  <c r="O58" i="1"/>
  <c r="T56" i="1"/>
  <c r="P56" i="1"/>
  <c r="S55" i="1"/>
  <c r="O55" i="1"/>
  <c r="T50" i="1"/>
  <c r="P50" i="1"/>
  <c r="T49" i="1"/>
  <c r="P49" i="1"/>
  <c r="S48" i="1"/>
  <c r="O48" i="1"/>
  <c r="S46" i="1"/>
  <c r="O46" i="1"/>
  <c r="S44" i="1"/>
  <c r="O44" i="1"/>
  <c r="S40" i="1"/>
  <c r="O40" i="1"/>
  <c r="S38" i="1"/>
  <c r="O38" i="1"/>
  <c r="S37" i="1"/>
  <c r="O37" i="1"/>
  <c r="S36" i="1"/>
  <c r="O36" i="1"/>
  <c r="T33" i="1"/>
  <c r="P33" i="1"/>
  <c r="S32" i="1"/>
  <c r="O32" i="1"/>
  <c r="T31" i="1"/>
  <c r="P31" i="1"/>
  <c r="T28" i="1"/>
  <c r="P28" i="1"/>
  <c r="T27" i="1"/>
  <c r="P27" i="1"/>
  <c r="S25" i="1"/>
  <c r="O25" i="1"/>
  <c r="S24" i="1"/>
  <c r="O24" i="1"/>
  <c r="S22" i="1"/>
  <c r="O22" i="1"/>
  <c r="T21" i="1"/>
  <c r="P21" i="1"/>
  <c r="S18" i="1"/>
  <c r="O18" i="1"/>
  <c r="S16" i="1"/>
  <c r="O16" i="1"/>
  <c r="S14" i="1"/>
  <c r="O14" i="1"/>
  <c r="S12" i="1"/>
  <c r="O12" i="1"/>
  <c r="T126" i="1"/>
  <c r="T124" i="1"/>
  <c r="S110" i="1"/>
  <c r="S108" i="1"/>
  <c r="S105" i="1"/>
  <c r="T96" i="1"/>
  <c r="T92" i="1"/>
  <c r="T87" i="1"/>
  <c r="T86" i="1"/>
  <c r="T80" i="1"/>
  <c r="T76" i="1"/>
  <c r="T75" i="1"/>
  <c r="T73" i="1"/>
  <c r="T72" i="1"/>
  <c r="U66" i="1"/>
  <c r="U64" i="1"/>
  <c r="T63" i="1"/>
  <c r="T61" i="1"/>
  <c r="T58" i="1"/>
  <c r="U56" i="1"/>
  <c r="T55" i="1"/>
  <c r="U50" i="1"/>
  <c r="U49" i="1"/>
  <c r="T48" i="1"/>
  <c r="T46" i="1"/>
  <c r="T44" i="1"/>
  <c r="T40" i="1"/>
  <c r="T38" i="1"/>
  <c r="T37" i="1"/>
  <c r="T36" i="1"/>
  <c r="U33" i="1"/>
  <c r="T32" i="1"/>
  <c r="U31" i="1"/>
  <c r="U28" i="1"/>
  <c r="U27" i="1"/>
  <c r="T25" i="1"/>
  <c r="T24" i="1"/>
  <c r="T22" i="1"/>
  <c r="U21" i="1"/>
  <c r="T18" i="1"/>
  <c r="T16" i="1"/>
  <c r="T14" i="1"/>
  <c r="T12" i="1"/>
  <c r="F306" i="1" l="1"/>
  <c r="L306" i="1" l="1"/>
  <c r="K306" i="1" l="1"/>
  <c r="I305" i="1" l="1"/>
  <c r="H306" i="1"/>
  <c r="I306" i="1" s="1"/>
  <c r="W306" i="1" l="1"/>
  <c r="V306" i="1"/>
  <c r="O305" i="1"/>
  <c r="W305" i="1"/>
  <c r="V305" i="1"/>
  <c r="N305" i="1"/>
  <c r="R305" i="1"/>
  <c r="T305" i="1"/>
  <c r="P305" i="1"/>
  <c r="U305" i="1"/>
  <c r="S305" i="1"/>
  <c r="J306" i="1"/>
  <c r="Q305" i="1"/>
  <c r="O306" i="1"/>
  <c r="S306" i="1"/>
  <c r="P306" i="1"/>
  <c r="T306" i="1"/>
  <c r="Q306" i="1"/>
  <c r="U306" i="1"/>
  <c r="N306" i="1"/>
  <c r="R306" i="1"/>
</calcChain>
</file>

<file path=xl/sharedStrings.xml><?xml version="1.0" encoding="utf-8"?>
<sst xmlns="http://schemas.openxmlformats.org/spreadsheetml/2006/main" count="38" uniqueCount="24">
  <si>
    <t>SITEID</t>
  </si>
  <si>
    <t>SITELAT</t>
  </si>
  <si>
    <t>SITELONG</t>
  </si>
  <si>
    <t>RIVER</t>
  </si>
  <si>
    <t>COUNTRY</t>
  </si>
  <si>
    <t>Summary of Current Data</t>
  </si>
  <si>
    <t>Status</t>
  </si>
  <si>
    <t>Low Flow</t>
  </si>
  <si>
    <t>Normal Flow</t>
  </si>
  <si>
    <t>Flood</t>
  </si>
  <si>
    <t>Major Flood</t>
  </si>
  <si>
    <t>Date</t>
  </si>
  <si>
    <t>Long.</t>
  </si>
  <si>
    <t>Lat.</t>
  </si>
  <si>
    <t>Flow</t>
  </si>
  <si>
    <t>Flow Status: 1=low flow, 2=normal flow, 3= flood, 4 = major flooding</t>
  </si>
  <si>
    <t>Runoff</t>
  </si>
  <si>
    <t>  </t>
  </si>
  <si>
    <t>Value</t>
  </si>
  <si>
    <t xml:space="preserve">Access to each site (substitute desired site number):  </t>
  </si>
  <si>
    <t>http://floodobservatory.colorado.edu/SiteDisplays/250.htm</t>
  </si>
  <si>
    <t>India</t>
  </si>
  <si>
    <t>Discharge or</t>
  </si>
  <si>
    <t xml:space="preserve"> Area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</si>
</sst>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00"/>
    <numFmt numFmtId="165" formatCode="[$-409]d\-mmm\-yy;@"/>
    <numFmt numFmtId="166" formatCode="0.0000"/>
    <numFmt numFmtId="167" formatCode="0.0%"/>
  </numFmts>
  <fonts count="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165" fontId="0" fillId="0" borderId="0"/>
    <xf numFmtId="165" fontId="2" fillId="0" borderId="0" applyNumberFormat="0" applyFill="0" applyBorder="0" applyAlignment="0" applyProtection="0">
      <alignment vertical="top"/>
      <protection locked="0"/>
    </xf>
  </cellStyleXfs>
  <cellXfs count="24">
    <xf numFmtId="165" fontId="0" fillId="0" borderId="0" xfId="0"/>
    <xf numFmtId="1" fontId="0" fillId="0" borderId="0" xfId="0" applyNumberFormat="1"/>
    <xf numFmtId="164" fontId="0" fillId="0" borderId="0" xfId="0" applyNumberFormat="1"/>
    <xf numFmtId="165" fontId="3" fillId="0" borderId="0" xfId="0" applyFont="1"/>
    <xf numFmtId="1" fontId="3" fillId="0" borderId="0" xfId="0" applyNumberFormat="1" applyFont="1" applyAlignment="1">
      <alignment horizontal="left"/>
    </xf>
    <xf numFmtId="165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0" xfId="0" applyAlignment="1">
      <alignment horizontal="left"/>
    </xf>
    <xf numFmtId="164" fontId="3" fillId="0" borderId="0" xfId="0" applyNumberFormat="1" applyFont="1" applyAlignment="1">
      <alignment horizontal="left"/>
    </xf>
    <xf numFmtId="1" fontId="3" fillId="0" borderId="0" xfId="0" applyNumberFormat="1" applyFont="1"/>
    <xf numFmtId="164" fontId="3" fillId="0" borderId="0" xfId="0" applyNumberFormat="1" applyFont="1"/>
    <xf numFmtId="165" fontId="1" fillId="0" borderId="0" xfId="0" applyFont="1"/>
    <xf numFmtId="9" fontId="0" fillId="0" borderId="0" xfId="0" applyNumberFormat="1" applyAlignment="1">
      <alignment horizontal="left"/>
    </xf>
    <xf numFmtId="2" fontId="3" fillId="0" borderId="0" xfId="0" applyNumberFormat="1" applyFont="1"/>
    <xf numFmtId="2" fontId="0" fillId="0" borderId="0" xfId="0" applyNumberFormat="1"/>
    <xf numFmtId="2" fontId="3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1" fontId="2" fillId="0" borderId="0" xfId="1" applyNumberFormat="1" applyAlignment="1" applyProtection="1">
      <alignment horizontal="left"/>
    </xf>
    <xf numFmtId="167" fontId="0" fillId="0" borderId="0" xfId="0" applyNumberFormat="1" applyAlignment="1">
      <alignment horizontal="left"/>
    </xf>
    <xf numFmtId="1" fontId="3" fillId="0" borderId="0" xfId="0" applyNumberFormat="1" applyFont="1"/>
    <xf numFmtId="1" fontId="3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99" Type="http://schemas.openxmlformats.org/officeDocument/2006/relationships/externalLink" Target="externalLinks/externalLink298.xml"/><Relationship Id="rId303" Type="http://schemas.openxmlformats.org/officeDocument/2006/relationships/externalLink" Target="externalLinks/externalLink302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83.xml"/><Relationship Id="rId138" Type="http://schemas.openxmlformats.org/officeDocument/2006/relationships/externalLink" Target="externalLinks/externalLink137.xml"/><Relationship Id="rId159" Type="http://schemas.openxmlformats.org/officeDocument/2006/relationships/externalLink" Target="externalLinks/externalLink158.xml"/><Relationship Id="rId324" Type="http://schemas.openxmlformats.org/officeDocument/2006/relationships/externalLink" Target="externalLinks/externalLink323.xml"/><Relationship Id="rId170" Type="http://schemas.openxmlformats.org/officeDocument/2006/relationships/externalLink" Target="externalLinks/externalLink169.xml"/><Relationship Id="rId191" Type="http://schemas.openxmlformats.org/officeDocument/2006/relationships/externalLink" Target="externalLinks/externalLink190.xml"/><Relationship Id="rId205" Type="http://schemas.openxmlformats.org/officeDocument/2006/relationships/externalLink" Target="externalLinks/externalLink204.xml"/><Relationship Id="rId226" Type="http://schemas.openxmlformats.org/officeDocument/2006/relationships/externalLink" Target="externalLinks/externalLink225.xml"/><Relationship Id="rId247" Type="http://schemas.openxmlformats.org/officeDocument/2006/relationships/externalLink" Target="externalLinks/externalLink246.xml"/><Relationship Id="rId107" Type="http://schemas.openxmlformats.org/officeDocument/2006/relationships/externalLink" Target="externalLinks/externalLink106.xml"/><Relationship Id="rId268" Type="http://schemas.openxmlformats.org/officeDocument/2006/relationships/externalLink" Target="externalLinks/externalLink267.xml"/><Relationship Id="rId289" Type="http://schemas.openxmlformats.org/officeDocument/2006/relationships/externalLink" Target="externalLinks/externalLink288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52.xml"/><Relationship Id="rId74" Type="http://schemas.openxmlformats.org/officeDocument/2006/relationships/externalLink" Target="externalLinks/externalLink73.xml"/><Relationship Id="rId128" Type="http://schemas.openxmlformats.org/officeDocument/2006/relationships/externalLink" Target="externalLinks/externalLink127.xml"/><Relationship Id="rId149" Type="http://schemas.openxmlformats.org/officeDocument/2006/relationships/externalLink" Target="externalLinks/externalLink148.xml"/><Relationship Id="rId314" Type="http://schemas.openxmlformats.org/officeDocument/2006/relationships/externalLink" Target="externalLinks/externalLink313.xml"/><Relationship Id="rId335" Type="http://schemas.openxmlformats.org/officeDocument/2006/relationships/externalLink" Target="externalLinks/externalLink334.xml"/><Relationship Id="rId5" Type="http://schemas.openxmlformats.org/officeDocument/2006/relationships/externalLink" Target="externalLinks/externalLink4.xml"/><Relationship Id="rId95" Type="http://schemas.openxmlformats.org/officeDocument/2006/relationships/externalLink" Target="externalLinks/externalLink94.xml"/><Relationship Id="rId160" Type="http://schemas.openxmlformats.org/officeDocument/2006/relationships/externalLink" Target="externalLinks/externalLink159.xml"/><Relationship Id="rId181" Type="http://schemas.openxmlformats.org/officeDocument/2006/relationships/externalLink" Target="externalLinks/externalLink180.xml"/><Relationship Id="rId216" Type="http://schemas.openxmlformats.org/officeDocument/2006/relationships/externalLink" Target="externalLinks/externalLink215.xml"/><Relationship Id="rId237" Type="http://schemas.openxmlformats.org/officeDocument/2006/relationships/externalLink" Target="externalLinks/externalLink236.xml"/><Relationship Id="rId258" Type="http://schemas.openxmlformats.org/officeDocument/2006/relationships/externalLink" Target="externalLinks/externalLink257.xml"/><Relationship Id="rId279" Type="http://schemas.openxmlformats.org/officeDocument/2006/relationships/externalLink" Target="externalLinks/externalLink278.xml"/><Relationship Id="rId22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63.xml"/><Relationship Id="rId118" Type="http://schemas.openxmlformats.org/officeDocument/2006/relationships/externalLink" Target="externalLinks/externalLink117.xml"/><Relationship Id="rId139" Type="http://schemas.openxmlformats.org/officeDocument/2006/relationships/externalLink" Target="externalLinks/externalLink138.xml"/><Relationship Id="rId290" Type="http://schemas.openxmlformats.org/officeDocument/2006/relationships/externalLink" Target="externalLinks/externalLink289.xml"/><Relationship Id="rId304" Type="http://schemas.openxmlformats.org/officeDocument/2006/relationships/externalLink" Target="externalLinks/externalLink303.xml"/><Relationship Id="rId325" Type="http://schemas.openxmlformats.org/officeDocument/2006/relationships/externalLink" Target="externalLinks/externalLink324.xml"/><Relationship Id="rId85" Type="http://schemas.openxmlformats.org/officeDocument/2006/relationships/externalLink" Target="externalLinks/externalLink84.xml"/><Relationship Id="rId150" Type="http://schemas.openxmlformats.org/officeDocument/2006/relationships/externalLink" Target="externalLinks/externalLink149.xml"/><Relationship Id="rId171" Type="http://schemas.openxmlformats.org/officeDocument/2006/relationships/externalLink" Target="externalLinks/externalLink170.xml"/><Relationship Id="rId192" Type="http://schemas.openxmlformats.org/officeDocument/2006/relationships/externalLink" Target="externalLinks/externalLink191.xml"/><Relationship Id="rId206" Type="http://schemas.openxmlformats.org/officeDocument/2006/relationships/externalLink" Target="externalLinks/externalLink205.xml"/><Relationship Id="rId227" Type="http://schemas.openxmlformats.org/officeDocument/2006/relationships/externalLink" Target="externalLinks/externalLink226.xml"/><Relationship Id="rId248" Type="http://schemas.openxmlformats.org/officeDocument/2006/relationships/externalLink" Target="externalLinks/externalLink247.xml"/><Relationship Id="rId269" Type="http://schemas.openxmlformats.org/officeDocument/2006/relationships/externalLink" Target="externalLinks/externalLink268.xml"/><Relationship Id="rId12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32.xml"/><Relationship Id="rId108" Type="http://schemas.openxmlformats.org/officeDocument/2006/relationships/externalLink" Target="externalLinks/externalLink107.xml"/><Relationship Id="rId129" Type="http://schemas.openxmlformats.org/officeDocument/2006/relationships/externalLink" Target="externalLinks/externalLink128.xml"/><Relationship Id="rId280" Type="http://schemas.openxmlformats.org/officeDocument/2006/relationships/externalLink" Target="externalLinks/externalLink279.xml"/><Relationship Id="rId315" Type="http://schemas.openxmlformats.org/officeDocument/2006/relationships/externalLink" Target="externalLinks/externalLink314.xml"/><Relationship Id="rId336" Type="http://schemas.openxmlformats.org/officeDocument/2006/relationships/externalLink" Target="externalLinks/externalLink335.xml"/><Relationship Id="rId54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95.xml"/><Relationship Id="rId140" Type="http://schemas.openxmlformats.org/officeDocument/2006/relationships/externalLink" Target="externalLinks/externalLink139.xml"/><Relationship Id="rId161" Type="http://schemas.openxmlformats.org/officeDocument/2006/relationships/externalLink" Target="externalLinks/externalLink160.xml"/><Relationship Id="rId182" Type="http://schemas.openxmlformats.org/officeDocument/2006/relationships/externalLink" Target="externalLinks/externalLink181.xml"/><Relationship Id="rId217" Type="http://schemas.openxmlformats.org/officeDocument/2006/relationships/externalLink" Target="externalLinks/externalLink216.xml"/><Relationship Id="rId6" Type="http://schemas.openxmlformats.org/officeDocument/2006/relationships/externalLink" Target="externalLinks/externalLink5.xml"/><Relationship Id="rId238" Type="http://schemas.openxmlformats.org/officeDocument/2006/relationships/externalLink" Target="externalLinks/externalLink237.xml"/><Relationship Id="rId259" Type="http://schemas.openxmlformats.org/officeDocument/2006/relationships/externalLink" Target="externalLinks/externalLink258.xml"/><Relationship Id="rId23" Type="http://schemas.openxmlformats.org/officeDocument/2006/relationships/externalLink" Target="externalLinks/externalLink22.xml"/><Relationship Id="rId119" Type="http://schemas.openxmlformats.org/officeDocument/2006/relationships/externalLink" Target="externalLinks/externalLink118.xml"/><Relationship Id="rId270" Type="http://schemas.openxmlformats.org/officeDocument/2006/relationships/externalLink" Target="externalLinks/externalLink269.xml"/><Relationship Id="rId291" Type="http://schemas.openxmlformats.org/officeDocument/2006/relationships/externalLink" Target="externalLinks/externalLink290.xml"/><Relationship Id="rId305" Type="http://schemas.openxmlformats.org/officeDocument/2006/relationships/externalLink" Target="externalLinks/externalLink304.xml"/><Relationship Id="rId326" Type="http://schemas.openxmlformats.org/officeDocument/2006/relationships/externalLink" Target="externalLinks/externalLink325.xml"/><Relationship Id="rId44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85.xml"/><Relationship Id="rId130" Type="http://schemas.openxmlformats.org/officeDocument/2006/relationships/externalLink" Target="externalLinks/externalLink129.xml"/><Relationship Id="rId151" Type="http://schemas.openxmlformats.org/officeDocument/2006/relationships/externalLink" Target="externalLinks/externalLink150.xml"/><Relationship Id="rId172" Type="http://schemas.openxmlformats.org/officeDocument/2006/relationships/externalLink" Target="externalLinks/externalLink171.xml"/><Relationship Id="rId193" Type="http://schemas.openxmlformats.org/officeDocument/2006/relationships/externalLink" Target="externalLinks/externalLink192.xml"/><Relationship Id="rId207" Type="http://schemas.openxmlformats.org/officeDocument/2006/relationships/externalLink" Target="externalLinks/externalLink206.xml"/><Relationship Id="rId228" Type="http://schemas.openxmlformats.org/officeDocument/2006/relationships/externalLink" Target="externalLinks/externalLink227.xml"/><Relationship Id="rId249" Type="http://schemas.openxmlformats.org/officeDocument/2006/relationships/externalLink" Target="externalLinks/externalLink248.xml"/><Relationship Id="rId13" Type="http://schemas.openxmlformats.org/officeDocument/2006/relationships/externalLink" Target="externalLinks/externalLink12.xml"/><Relationship Id="rId109" Type="http://schemas.openxmlformats.org/officeDocument/2006/relationships/externalLink" Target="externalLinks/externalLink108.xml"/><Relationship Id="rId260" Type="http://schemas.openxmlformats.org/officeDocument/2006/relationships/externalLink" Target="externalLinks/externalLink259.xml"/><Relationship Id="rId281" Type="http://schemas.openxmlformats.org/officeDocument/2006/relationships/externalLink" Target="externalLinks/externalLink280.xml"/><Relationship Id="rId316" Type="http://schemas.openxmlformats.org/officeDocument/2006/relationships/externalLink" Target="externalLinks/externalLink315.xml"/><Relationship Id="rId337" Type="http://schemas.openxmlformats.org/officeDocument/2006/relationships/externalLink" Target="externalLinks/externalLink336.xml"/><Relationship Id="rId34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20" Type="http://schemas.openxmlformats.org/officeDocument/2006/relationships/externalLink" Target="externalLinks/externalLink119.xml"/><Relationship Id="rId141" Type="http://schemas.openxmlformats.org/officeDocument/2006/relationships/externalLink" Target="externalLinks/externalLink140.xml"/><Relationship Id="rId7" Type="http://schemas.openxmlformats.org/officeDocument/2006/relationships/externalLink" Target="externalLinks/externalLink6.xml"/><Relationship Id="rId162" Type="http://schemas.openxmlformats.org/officeDocument/2006/relationships/externalLink" Target="externalLinks/externalLink161.xml"/><Relationship Id="rId183" Type="http://schemas.openxmlformats.org/officeDocument/2006/relationships/externalLink" Target="externalLinks/externalLink182.xml"/><Relationship Id="rId218" Type="http://schemas.openxmlformats.org/officeDocument/2006/relationships/externalLink" Target="externalLinks/externalLink217.xml"/><Relationship Id="rId239" Type="http://schemas.openxmlformats.org/officeDocument/2006/relationships/externalLink" Target="externalLinks/externalLink238.xml"/><Relationship Id="rId250" Type="http://schemas.openxmlformats.org/officeDocument/2006/relationships/externalLink" Target="externalLinks/externalLink249.xml"/><Relationship Id="rId271" Type="http://schemas.openxmlformats.org/officeDocument/2006/relationships/externalLink" Target="externalLinks/externalLink270.xml"/><Relationship Id="rId292" Type="http://schemas.openxmlformats.org/officeDocument/2006/relationships/externalLink" Target="externalLinks/externalLink291.xml"/><Relationship Id="rId306" Type="http://schemas.openxmlformats.org/officeDocument/2006/relationships/externalLink" Target="externalLinks/externalLink305.xml"/><Relationship Id="rId24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31" Type="http://schemas.openxmlformats.org/officeDocument/2006/relationships/externalLink" Target="externalLinks/externalLink130.xml"/><Relationship Id="rId327" Type="http://schemas.openxmlformats.org/officeDocument/2006/relationships/externalLink" Target="externalLinks/externalLink326.xml"/><Relationship Id="rId152" Type="http://schemas.openxmlformats.org/officeDocument/2006/relationships/externalLink" Target="externalLinks/externalLink151.xml"/><Relationship Id="rId173" Type="http://schemas.openxmlformats.org/officeDocument/2006/relationships/externalLink" Target="externalLinks/externalLink172.xml"/><Relationship Id="rId194" Type="http://schemas.openxmlformats.org/officeDocument/2006/relationships/externalLink" Target="externalLinks/externalLink193.xml"/><Relationship Id="rId208" Type="http://schemas.openxmlformats.org/officeDocument/2006/relationships/externalLink" Target="externalLinks/externalLink207.xml"/><Relationship Id="rId229" Type="http://schemas.openxmlformats.org/officeDocument/2006/relationships/externalLink" Target="externalLinks/externalLink228.xml"/><Relationship Id="rId240" Type="http://schemas.openxmlformats.org/officeDocument/2006/relationships/externalLink" Target="externalLinks/externalLink239.xml"/><Relationship Id="rId261" Type="http://schemas.openxmlformats.org/officeDocument/2006/relationships/externalLink" Target="externalLinks/externalLink260.xml"/><Relationship Id="rId14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282" Type="http://schemas.openxmlformats.org/officeDocument/2006/relationships/externalLink" Target="externalLinks/externalLink281.xml"/><Relationship Id="rId317" Type="http://schemas.openxmlformats.org/officeDocument/2006/relationships/externalLink" Target="externalLinks/externalLink316.xml"/><Relationship Id="rId338" Type="http://schemas.openxmlformats.org/officeDocument/2006/relationships/externalLink" Target="externalLinks/externalLink337.xml"/><Relationship Id="rId8" Type="http://schemas.openxmlformats.org/officeDocument/2006/relationships/externalLink" Target="externalLinks/externalLink7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163" Type="http://schemas.openxmlformats.org/officeDocument/2006/relationships/externalLink" Target="externalLinks/externalLink162.xml"/><Relationship Id="rId184" Type="http://schemas.openxmlformats.org/officeDocument/2006/relationships/externalLink" Target="externalLinks/externalLink183.xml"/><Relationship Id="rId219" Type="http://schemas.openxmlformats.org/officeDocument/2006/relationships/externalLink" Target="externalLinks/externalLink218.xml"/><Relationship Id="rId230" Type="http://schemas.openxmlformats.org/officeDocument/2006/relationships/externalLink" Target="externalLinks/externalLink229.xml"/><Relationship Id="rId251" Type="http://schemas.openxmlformats.org/officeDocument/2006/relationships/externalLink" Target="externalLinks/externalLink250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137" Type="http://schemas.openxmlformats.org/officeDocument/2006/relationships/externalLink" Target="externalLinks/externalLink136.xml"/><Relationship Id="rId158" Type="http://schemas.openxmlformats.org/officeDocument/2006/relationships/externalLink" Target="externalLinks/externalLink157.xml"/><Relationship Id="rId272" Type="http://schemas.openxmlformats.org/officeDocument/2006/relationships/externalLink" Target="externalLinks/externalLink271.xml"/><Relationship Id="rId293" Type="http://schemas.openxmlformats.org/officeDocument/2006/relationships/externalLink" Target="externalLinks/externalLink292.xml"/><Relationship Id="rId302" Type="http://schemas.openxmlformats.org/officeDocument/2006/relationships/externalLink" Target="externalLinks/externalLink301.xml"/><Relationship Id="rId307" Type="http://schemas.openxmlformats.org/officeDocument/2006/relationships/externalLink" Target="externalLinks/externalLink306.xml"/><Relationship Id="rId323" Type="http://schemas.openxmlformats.org/officeDocument/2006/relationships/externalLink" Target="externalLinks/externalLink322.xml"/><Relationship Id="rId328" Type="http://schemas.openxmlformats.org/officeDocument/2006/relationships/externalLink" Target="externalLinks/externalLink32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3" Type="http://schemas.openxmlformats.org/officeDocument/2006/relationships/externalLink" Target="externalLinks/externalLink152.xml"/><Relationship Id="rId174" Type="http://schemas.openxmlformats.org/officeDocument/2006/relationships/externalLink" Target="externalLinks/externalLink173.xml"/><Relationship Id="rId179" Type="http://schemas.openxmlformats.org/officeDocument/2006/relationships/externalLink" Target="externalLinks/externalLink178.xml"/><Relationship Id="rId195" Type="http://schemas.openxmlformats.org/officeDocument/2006/relationships/externalLink" Target="externalLinks/externalLink194.xml"/><Relationship Id="rId209" Type="http://schemas.openxmlformats.org/officeDocument/2006/relationships/externalLink" Target="externalLinks/externalLink208.xml"/><Relationship Id="rId190" Type="http://schemas.openxmlformats.org/officeDocument/2006/relationships/externalLink" Target="externalLinks/externalLink189.xml"/><Relationship Id="rId204" Type="http://schemas.openxmlformats.org/officeDocument/2006/relationships/externalLink" Target="externalLinks/externalLink203.xml"/><Relationship Id="rId220" Type="http://schemas.openxmlformats.org/officeDocument/2006/relationships/externalLink" Target="externalLinks/externalLink219.xml"/><Relationship Id="rId225" Type="http://schemas.openxmlformats.org/officeDocument/2006/relationships/externalLink" Target="externalLinks/externalLink224.xml"/><Relationship Id="rId241" Type="http://schemas.openxmlformats.org/officeDocument/2006/relationships/externalLink" Target="externalLinks/externalLink240.xml"/><Relationship Id="rId246" Type="http://schemas.openxmlformats.org/officeDocument/2006/relationships/externalLink" Target="externalLinks/externalLink245.xml"/><Relationship Id="rId267" Type="http://schemas.openxmlformats.org/officeDocument/2006/relationships/externalLink" Target="externalLinks/externalLink266.xml"/><Relationship Id="rId288" Type="http://schemas.openxmlformats.org/officeDocument/2006/relationships/externalLink" Target="externalLinks/externalLink287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262" Type="http://schemas.openxmlformats.org/officeDocument/2006/relationships/externalLink" Target="externalLinks/externalLink261.xml"/><Relationship Id="rId283" Type="http://schemas.openxmlformats.org/officeDocument/2006/relationships/externalLink" Target="externalLinks/externalLink282.xml"/><Relationship Id="rId313" Type="http://schemas.openxmlformats.org/officeDocument/2006/relationships/externalLink" Target="externalLinks/externalLink312.xml"/><Relationship Id="rId318" Type="http://schemas.openxmlformats.org/officeDocument/2006/relationships/externalLink" Target="externalLinks/externalLink317.xml"/><Relationship Id="rId339" Type="http://schemas.openxmlformats.org/officeDocument/2006/relationships/externalLink" Target="externalLinks/externalLink338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43" Type="http://schemas.openxmlformats.org/officeDocument/2006/relationships/externalLink" Target="externalLinks/externalLink142.xml"/><Relationship Id="rId148" Type="http://schemas.openxmlformats.org/officeDocument/2006/relationships/externalLink" Target="externalLinks/externalLink147.xml"/><Relationship Id="rId164" Type="http://schemas.openxmlformats.org/officeDocument/2006/relationships/externalLink" Target="externalLinks/externalLink163.xml"/><Relationship Id="rId169" Type="http://schemas.openxmlformats.org/officeDocument/2006/relationships/externalLink" Target="externalLinks/externalLink168.xml"/><Relationship Id="rId185" Type="http://schemas.openxmlformats.org/officeDocument/2006/relationships/externalLink" Target="externalLinks/externalLink184.xml"/><Relationship Id="rId334" Type="http://schemas.openxmlformats.org/officeDocument/2006/relationships/externalLink" Target="externalLinks/externalLink33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80" Type="http://schemas.openxmlformats.org/officeDocument/2006/relationships/externalLink" Target="externalLinks/externalLink179.xml"/><Relationship Id="rId210" Type="http://schemas.openxmlformats.org/officeDocument/2006/relationships/externalLink" Target="externalLinks/externalLink209.xml"/><Relationship Id="rId215" Type="http://schemas.openxmlformats.org/officeDocument/2006/relationships/externalLink" Target="externalLinks/externalLink214.xml"/><Relationship Id="rId236" Type="http://schemas.openxmlformats.org/officeDocument/2006/relationships/externalLink" Target="externalLinks/externalLink235.xml"/><Relationship Id="rId257" Type="http://schemas.openxmlformats.org/officeDocument/2006/relationships/externalLink" Target="externalLinks/externalLink256.xml"/><Relationship Id="rId278" Type="http://schemas.openxmlformats.org/officeDocument/2006/relationships/externalLink" Target="externalLinks/externalLink277.xml"/><Relationship Id="rId26" Type="http://schemas.openxmlformats.org/officeDocument/2006/relationships/externalLink" Target="externalLinks/externalLink25.xml"/><Relationship Id="rId231" Type="http://schemas.openxmlformats.org/officeDocument/2006/relationships/externalLink" Target="externalLinks/externalLink230.xml"/><Relationship Id="rId252" Type="http://schemas.openxmlformats.org/officeDocument/2006/relationships/externalLink" Target="externalLinks/externalLink251.xml"/><Relationship Id="rId273" Type="http://schemas.openxmlformats.org/officeDocument/2006/relationships/externalLink" Target="externalLinks/externalLink272.xml"/><Relationship Id="rId294" Type="http://schemas.openxmlformats.org/officeDocument/2006/relationships/externalLink" Target="externalLinks/externalLink293.xml"/><Relationship Id="rId308" Type="http://schemas.openxmlformats.org/officeDocument/2006/relationships/externalLink" Target="externalLinks/externalLink307.xml"/><Relationship Id="rId329" Type="http://schemas.openxmlformats.org/officeDocument/2006/relationships/externalLink" Target="externalLinks/externalLink328.xml"/><Relationship Id="rId47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54" Type="http://schemas.openxmlformats.org/officeDocument/2006/relationships/externalLink" Target="externalLinks/externalLink153.xml"/><Relationship Id="rId175" Type="http://schemas.openxmlformats.org/officeDocument/2006/relationships/externalLink" Target="externalLinks/externalLink174.xml"/><Relationship Id="rId340" Type="http://schemas.openxmlformats.org/officeDocument/2006/relationships/theme" Target="theme/theme1.xml"/><Relationship Id="rId196" Type="http://schemas.openxmlformats.org/officeDocument/2006/relationships/externalLink" Target="externalLinks/externalLink195.xml"/><Relationship Id="rId200" Type="http://schemas.openxmlformats.org/officeDocument/2006/relationships/externalLink" Target="externalLinks/externalLink199.xml"/><Relationship Id="rId16" Type="http://schemas.openxmlformats.org/officeDocument/2006/relationships/externalLink" Target="externalLinks/externalLink15.xml"/><Relationship Id="rId221" Type="http://schemas.openxmlformats.org/officeDocument/2006/relationships/externalLink" Target="externalLinks/externalLink220.xml"/><Relationship Id="rId242" Type="http://schemas.openxmlformats.org/officeDocument/2006/relationships/externalLink" Target="externalLinks/externalLink241.xml"/><Relationship Id="rId263" Type="http://schemas.openxmlformats.org/officeDocument/2006/relationships/externalLink" Target="externalLinks/externalLink262.xml"/><Relationship Id="rId284" Type="http://schemas.openxmlformats.org/officeDocument/2006/relationships/externalLink" Target="externalLinks/externalLink283.xml"/><Relationship Id="rId319" Type="http://schemas.openxmlformats.org/officeDocument/2006/relationships/externalLink" Target="externalLinks/externalLink318.xml"/><Relationship Id="rId37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44" Type="http://schemas.openxmlformats.org/officeDocument/2006/relationships/externalLink" Target="externalLinks/externalLink143.xml"/><Relationship Id="rId330" Type="http://schemas.openxmlformats.org/officeDocument/2006/relationships/externalLink" Target="externalLinks/externalLink329.xml"/><Relationship Id="rId90" Type="http://schemas.openxmlformats.org/officeDocument/2006/relationships/externalLink" Target="externalLinks/externalLink89.xml"/><Relationship Id="rId165" Type="http://schemas.openxmlformats.org/officeDocument/2006/relationships/externalLink" Target="externalLinks/externalLink164.xml"/><Relationship Id="rId186" Type="http://schemas.openxmlformats.org/officeDocument/2006/relationships/externalLink" Target="externalLinks/externalLink185.xml"/><Relationship Id="rId211" Type="http://schemas.openxmlformats.org/officeDocument/2006/relationships/externalLink" Target="externalLinks/externalLink210.xml"/><Relationship Id="rId232" Type="http://schemas.openxmlformats.org/officeDocument/2006/relationships/externalLink" Target="externalLinks/externalLink231.xml"/><Relationship Id="rId253" Type="http://schemas.openxmlformats.org/officeDocument/2006/relationships/externalLink" Target="externalLinks/externalLink252.xml"/><Relationship Id="rId274" Type="http://schemas.openxmlformats.org/officeDocument/2006/relationships/externalLink" Target="externalLinks/externalLink273.xml"/><Relationship Id="rId295" Type="http://schemas.openxmlformats.org/officeDocument/2006/relationships/externalLink" Target="externalLinks/externalLink294.xml"/><Relationship Id="rId309" Type="http://schemas.openxmlformats.org/officeDocument/2006/relationships/externalLink" Target="externalLinks/externalLink308.xml"/><Relationship Id="rId27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34" Type="http://schemas.openxmlformats.org/officeDocument/2006/relationships/externalLink" Target="externalLinks/externalLink133.xml"/><Relationship Id="rId320" Type="http://schemas.openxmlformats.org/officeDocument/2006/relationships/externalLink" Target="externalLinks/externalLink319.xml"/><Relationship Id="rId80" Type="http://schemas.openxmlformats.org/officeDocument/2006/relationships/externalLink" Target="externalLinks/externalLink79.xml"/><Relationship Id="rId155" Type="http://schemas.openxmlformats.org/officeDocument/2006/relationships/externalLink" Target="externalLinks/externalLink154.xml"/><Relationship Id="rId176" Type="http://schemas.openxmlformats.org/officeDocument/2006/relationships/externalLink" Target="externalLinks/externalLink175.xml"/><Relationship Id="rId197" Type="http://schemas.openxmlformats.org/officeDocument/2006/relationships/externalLink" Target="externalLinks/externalLink196.xml"/><Relationship Id="rId341" Type="http://schemas.openxmlformats.org/officeDocument/2006/relationships/styles" Target="styles.xml"/><Relationship Id="rId201" Type="http://schemas.openxmlformats.org/officeDocument/2006/relationships/externalLink" Target="externalLinks/externalLink200.xml"/><Relationship Id="rId222" Type="http://schemas.openxmlformats.org/officeDocument/2006/relationships/externalLink" Target="externalLinks/externalLink221.xml"/><Relationship Id="rId243" Type="http://schemas.openxmlformats.org/officeDocument/2006/relationships/externalLink" Target="externalLinks/externalLink242.xml"/><Relationship Id="rId264" Type="http://schemas.openxmlformats.org/officeDocument/2006/relationships/externalLink" Target="externalLinks/externalLink263.xml"/><Relationship Id="rId285" Type="http://schemas.openxmlformats.org/officeDocument/2006/relationships/externalLink" Target="externalLinks/externalLink284.xml"/><Relationship Id="rId17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24" Type="http://schemas.openxmlformats.org/officeDocument/2006/relationships/externalLink" Target="externalLinks/externalLink123.xml"/><Relationship Id="rId310" Type="http://schemas.openxmlformats.org/officeDocument/2006/relationships/externalLink" Target="externalLinks/externalLink309.xml"/><Relationship Id="rId70" Type="http://schemas.openxmlformats.org/officeDocument/2006/relationships/externalLink" Target="externalLinks/externalLink69.xml"/><Relationship Id="rId91" Type="http://schemas.openxmlformats.org/officeDocument/2006/relationships/externalLink" Target="externalLinks/externalLink90.xml"/><Relationship Id="rId145" Type="http://schemas.openxmlformats.org/officeDocument/2006/relationships/externalLink" Target="externalLinks/externalLink144.xml"/><Relationship Id="rId166" Type="http://schemas.openxmlformats.org/officeDocument/2006/relationships/externalLink" Target="externalLinks/externalLink165.xml"/><Relationship Id="rId187" Type="http://schemas.openxmlformats.org/officeDocument/2006/relationships/externalLink" Target="externalLinks/externalLink186.xml"/><Relationship Id="rId331" Type="http://schemas.openxmlformats.org/officeDocument/2006/relationships/externalLink" Target="externalLinks/externalLink330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211.xml"/><Relationship Id="rId233" Type="http://schemas.openxmlformats.org/officeDocument/2006/relationships/externalLink" Target="externalLinks/externalLink232.xml"/><Relationship Id="rId254" Type="http://schemas.openxmlformats.org/officeDocument/2006/relationships/externalLink" Target="externalLinks/externalLink253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275" Type="http://schemas.openxmlformats.org/officeDocument/2006/relationships/externalLink" Target="externalLinks/externalLink274.xml"/><Relationship Id="rId296" Type="http://schemas.openxmlformats.org/officeDocument/2006/relationships/externalLink" Target="externalLinks/externalLink295.xml"/><Relationship Id="rId300" Type="http://schemas.openxmlformats.org/officeDocument/2006/relationships/externalLink" Target="externalLinks/externalLink299.xml"/><Relationship Id="rId60" Type="http://schemas.openxmlformats.org/officeDocument/2006/relationships/externalLink" Target="externalLinks/externalLink59.xml"/><Relationship Id="rId81" Type="http://schemas.openxmlformats.org/officeDocument/2006/relationships/externalLink" Target="externalLinks/externalLink80.xml"/><Relationship Id="rId135" Type="http://schemas.openxmlformats.org/officeDocument/2006/relationships/externalLink" Target="externalLinks/externalLink134.xml"/><Relationship Id="rId156" Type="http://schemas.openxmlformats.org/officeDocument/2006/relationships/externalLink" Target="externalLinks/externalLink155.xml"/><Relationship Id="rId177" Type="http://schemas.openxmlformats.org/officeDocument/2006/relationships/externalLink" Target="externalLinks/externalLink176.xml"/><Relationship Id="rId198" Type="http://schemas.openxmlformats.org/officeDocument/2006/relationships/externalLink" Target="externalLinks/externalLink197.xml"/><Relationship Id="rId321" Type="http://schemas.openxmlformats.org/officeDocument/2006/relationships/externalLink" Target="externalLinks/externalLink320.xml"/><Relationship Id="rId342" Type="http://schemas.openxmlformats.org/officeDocument/2006/relationships/sharedStrings" Target="sharedStrings.xml"/><Relationship Id="rId202" Type="http://schemas.openxmlformats.org/officeDocument/2006/relationships/externalLink" Target="externalLinks/externalLink201.xml"/><Relationship Id="rId223" Type="http://schemas.openxmlformats.org/officeDocument/2006/relationships/externalLink" Target="externalLinks/externalLink222.xml"/><Relationship Id="rId244" Type="http://schemas.openxmlformats.org/officeDocument/2006/relationships/externalLink" Target="externalLinks/externalLink243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265" Type="http://schemas.openxmlformats.org/officeDocument/2006/relationships/externalLink" Target="externalLinks/externalLink264.xml"/><Relationship Id="rId286" Type="http://schemas.openxmlformats.org/officeDocument/2006/relationships/externalLink" Target="externalLinks/externalLink285.xml"/><Relationship Id="rId50" Type="http://schemas.openxmlformats.org/officeDocument/2006/relationships/externalLink" Target="externalLinks/externalLink49.xml"/><Relationship Id="rId104" Type="http://schemas.openxmlformats.org/officeDocument/2006/relationships/externalLink" Target="externalLinks/externalLink103.xml"/><Relationship Id="rId125" Type="http://schemas.openxmlformats.org/officeDocument/2006/relationships/externalLink" Target="externalLinks/externalLink124.xml"/><Relationship Id="rId146" Type="http://schemas.openxmlformats.org/officeDocument/2006/relationships/externalLink" Target="externalLinks/externalLink145.xml"/><Relationship Id="rId167" Type="http://schemas.openxmlformats.org/officeDocument/2006/relationships/externalLink" Target="externalLinks/externalLink166.xml"/><Relationship Id="rId188" Type="http://schemas.openxmlformats.org/officeDocument/2006/relationships/externalLink" Target="externalLinks/externalLink187.xml"/><Relationship Id="rId311" Type="http://schemas.openxmlformats.org/officeDocument/2006/relationships/externalLink" Target="externalLinks/externalLink310.xml"/><Relationship Id="rId332" Type="http://schemas.openxmlformats.org/officeDocument/2006/relationships/externalLink" Target="externalLinks/externalLink331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13" Type="http://schemas.openxmlformats.org/officeDocument/2006/relationships/externalLink" Target="externalLinks/externalLink212.xml"/><Relationship Id="rId234" Type="http://schemas.openxmlformats.org/officeDocument/2006/relationships/externalLink" Target="externalLinks/externalLink233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55" Type="http://schemas.openxmlformats.org/officeDocument/2006/relationships/externalLink" Target="externalLinks/externalLink254.xml"/><Relationship Id="rId276" Type="http://schemas.openxmlformats.org/officeDocument/2006/relationships/externalLink" Target="externalLinks/externalLink275.xml"/><Relationship Id="rId297" Type="http://schemas.openxmlformats.org/officeDocument/2006/relationships/externalLink" Target="externalLinks/externalLink296.xml"/><Relationship Id="rId40" Type="http://schemas.openxmlformats.org/officeDocument/2006/relationships/externalLink" Target="externalLinks/externalLink39.xml"/><Relationship Id="rId115" Type="http://schemas.openxmlformats.org/officeDocument/2006/relationships/externalLink" Target="externalLinks/externalLink114.xml"/><Relationship Id="rId136" Type="http://schemas.openxmlformats.org/officeDocument/2006/relationships/externalLink" Target="externalLinks/externalLink135.xml"/><Relationship Id="rId157" Type="http://schemas.openxmlformats.org/officeDocument/2006/relationships/externalLink" Target="externalLinks/externalLink156.xml"/><Relationship Id="rId178" Type="http://schemas.openxmlformats.org/officeDocument/2006/relationships/externalLink" Target="externalLinks/externalLink177.xml"/><Relationship Id="rId301" Type="http://schemas.openxmlformats.org/officeDocument/2006/relationships/externalLink" Target="externalLinks/externalLink300.xml"/><Relationship Id="rId322" Type="http://schemas.openxmlformats.org/officeDocument/2006/relationships/externalLink" Target="externalLinks/externalLink321.xml"/><Relationship Id="rId343" Type="http://schemas.openxmlformats.org/officeDocument/2006/relationships/calcChain" Target="calcChain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9" Type="http://schemas.openxmlformats.org/officeDocument/2006/relationships/externalLink" Target="externalLinks/externalLink198.xml"/><Relationship Id="rId203" Type="http://schemas.openxmlformats.org/officeDocument/2006/relationships/externalLink" Target="externalLinks/externalLink202.xml"/><Relationship Id="rId19" Type="http://schemas.openxmlformats.org/officeDocument/2006/relationships/externalLink" Target="externalLinks/externalLink18.xml"/><Relationship Id="rId224" Type="http://schemas.openxmlformats.org/officeDocument/2006/relationships/externalLink" Target="externalLinks/externalLink223.xml"/><Relationship Id="rId245" Type="http://schemas.openxmlformats.org/officeDocument/2006/relationships/externalLink" Target="externalLinks/externalLink244.xml"/><Relationship Id="rId266" Type="http://schemas.openxmlformats.org/officeDocument/2006/relationships/externalLink" Target="externalLinks/externalLink265.xml"/><Relationship Id="rId287" Type="http://schemas.openxmlformats.org/officeDocument/2006/relationships/externalLink" Target="externalLinks/externalLink286.xml"/><Relationship Id="rId30" Type="http://schemas.openxmlformats.org/officeDocument/2006/relationships/externalLink" Target="externalLinks/externalLink2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168" Type="http://schemas.openxmlformats.org/officeDocument/2006/relationships/externalLink" Target="externalLinks/externalLink167.xml"/><Relationship Id="rId312" Type="http://schemas.openxmlformats.org/officeDocument/2006/relationships/externalLink" Target="externalLinks/externalLink311.xml"/><Relationship Id="rId333" Type="http://schemas.openxmlformats.org/officeDocument/2006/relationships/externalLink" Target="externalLinks/externalLink332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189" Type="http://schemas.openxmlformats.org/officeDocument/2006/relationships/externalLink" Target="externalLinks/externalLink188.xml"/><Relationship Id="rId3" Type="http://schemas.openxmlformats.org/officeDocument/2006/relationships/externalLink" Target="externalLinks/externalLink2.xml"/><Relationship Id="rId214" Type="http://schemas.openxmlformats.org/officeDocument/2006/relationships/externalLink" Target="externalLinks/externalLink213.xml"/><Relationship Id="rId235" Type="http://schemas.openxmlformats.org/officeDocument/2006/relationships/externalLink" Target="externalLinks/externalLink234.xml"/><Relationship Id="rId256" Type="http://schemas.openxmlformats.org/officeDocument/2006/relationships/externalLink" Target="externalLinks/externalLink255.xml"/><Relationship Id="rId277" Type="http://schemas.openxmlformats.org/officeDocument/2006/relationships/externalLink" Target="externalLinks/externalLink276.xml"/><Relationship Id="rId298" Type="http://schemas.openxmlformats.org/officeDocument/2006/relationships/externalLink" Target="externalLinks/externalLink29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9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288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290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291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292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294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296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297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317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318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3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0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350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351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358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421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435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440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442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443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445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44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4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447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467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490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491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497.xlsx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498.xlsx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501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502.xlsx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505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50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8.xlsx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510.xlsx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514.xlsx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516.xlsx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521.xlsx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542.xlsx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660.xlsx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661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662.xlsx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663.xlsx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66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40.xlsx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666.xlsx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711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731.xlsx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783.xlsx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784.xlsx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787.xlsx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790.xlsx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792.xlsx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794.xlsx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80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loods/SiteDisplays/40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810.xlsx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818.xlsx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821.xlsx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822.xlsx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828.xlsx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830.xlsx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834.xlsx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835.xlsx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836.xlsx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83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51.xlsx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840.xlsx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842.xlsx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843.xlsx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845.xlsx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856.xlsx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857.xlsx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861.xlsx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863.xlsx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864.xlsx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86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x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879.xlsx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881.xlsx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1045.xlsx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1052.xlsx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1058.xlsx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1064.xlsx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1067.xlsx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1075.xlsx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1076.xlsx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107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56.xlsx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1079.xlsx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1081.xlsx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1083.xlsx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1084.xlsx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1086.xlsx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1088.xlsx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1089.xlsx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1091.xlsx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1092.xlsx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109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loods/SiteDisplays/56.xlsx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1109.xlsx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1112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1139.xlsx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1140.xlsx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1144.xlsx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1145.xlsx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1149.xlsx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1150.xlsx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1154.xlsx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115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59.xlsx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1193.xlsx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1246.xlsx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1247.xlsx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1251.xlsx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1275.xlsx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1283.xlsx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1290.xlsx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1292.xlsx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1301.xlsx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14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x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1419.xlsx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1420.xlsx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1432.xlsx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1437.xlsx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1438.xlsx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1441.xlsx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1505.xlsx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1517.xlsx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1522.xlsx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152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63.xlsx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1526.xlsx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1527.xlsx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1529.xlsx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1541.xlsx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1542.xlsx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1543.xlsx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1531.xlsx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1544.xlsx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1545.xlsx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154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floods/SiteDisplays/63.xlsx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1548.xlsx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1582.xlsx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1652.xlsx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1936.xlsx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1937.xlsx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1938.xlsx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1944.xlsx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1958.xlsx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1970.xlsx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openxmlformats.org/officeDocument/2006/relationships/externalLinkPath" Target="200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64.xlsx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2001.xlsx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2002.xlsx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2007.xlsx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2008.xlsx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2009.xlsx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2011.xlsx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2012.xlsx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2015.xlsx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xlsx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202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x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2031.xlsx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2034.xlsx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2035.xlsx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2036.xlsx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2041.xlsx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2042.xlsx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2043.xlsx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2047.xlsx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2074.xlsx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207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70.xlsx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2077.xlsx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2078.xlsx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2079.xlsx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2080.xlsx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2081.xlsx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2085.xlsx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2087.xlsx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2089.xlsx" TargetMode="External"/></Relationships>
</file>

<file path=xl/externalLinks/_rels/externalLink268.xml.rels><?xml version="1.0" encoding="UTF-8" standalone="yes"?>
<Relationships xmlns="http://schemas.openxmlformats.org/package/2006/relationships"><Relationship Id="rId1" Type="http://schemas.openxmlformats.org/officeDocument/2006/relationships/externalLinkPath" Target="2091.xlsx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209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84.xlsx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2095.xlsx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2098.xlsx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2100.xlsx" TargetMode="External"/></Relationships>
</file>

<file path=xl/externalLinks/_rels/externalLink273.xml.rels><?xml version="1.0" encoding="UTF-8" standalone="yes"?>
<Relationships xmlns="http://schemas.openxmlformats.org/package/2006/relationships"><Relationship Id="rId1" Type="http://schemas.openxmlformats.org/officeDocument/2006/relationships/externalLinkPath" Target="2190.xlsx" TargetMode="External"/></Relationships>
</file>

<file path=xl/externalLinks/_rels/externalLink274.xml.rels><?xml version="1.0" encoding="UTF-8" standalone="yes"?>
<Relationships xmlns="http://schemas.openxmlformats.org/package/2006/relationships"><Relationship Id="rId1" Type="http://schemas.openxmlformats.org/officeDocument/2006/relationships/externalLinkPath" Target="2201.xlsx" TargetMode="External"/></Relationships>
</file>

<file path=xl/externalLinks/_rels/externalLink275.xml.rels><?xml version="1.0" encoding="UTF-8" standalone="yes"?>
<Relationships xmlns="http://schemas.openxmlformats.org/package/2006/relationships"><Relationship Id="rId1" Type="http://schemas.openxmlformats.org/officeDocument/2006/relationships/externalLinkPath" Target="2205.xlsx" TargetMode="External"/></Relationships>
</file>

<file path=xl/externalLinks/_rels/externalLink276.xml.rels><?xml version="1.0" encoding="UTF-8" standalone="yes"?>
<Relationships xmlns="http://schemas.openxmlformats.org/package/2006/relationships"><Relationship Id="rId1" Type="http://schemas.openxmlformats.org/officeDocument/2006/relationships/externalLinkPath" Target="2206.xlsx" TargetMode="External"/></Relationships>
</file>

<file path=xl/externalLinks/_rels/externalLink277.xml.rels><?xml version="1.0" encoding="UTF-8" standalone="yes"?>
<Relationships xmlns="http://schemas.openxmlformats.org/package/2006/relationships"><Relationship Id="rId1" Type="http://schemas.openxmlformats.org/officeDocument/2006/relationships/externalLinkPath" Target="2209.xlsx" TargetMode="External"/></Relationships>
</file>

<file path=xl/externalLinks/_rels/externalLink278.xml.rels><?xml version="1.0" encoding="UTF-8" standalone="yes"?>
<Relationships xmlns="http://schemas.openxmlformats.org/package/2006/relationships"><Relationship Id="rId1" Type="http://schemas.openxmlformats.org/officeDocument/2006/relationships/externalLinkPath" Target="2214.xlsx" TargetMode="External"/></Relationships>
</file>

<file path=xl/externalLinks/_rels/externalLink279.xml.rels><?xml version="1.0" encoding="UTF-8" standalone="yes"?>
<Relationships xmlns="http://schemas.openxmlformats.org/package/2006/relationships"><Relationship Id="rId1" Type="http://schemas.openxmlformats.org/officeDocument/2006/relationships/externalLinkPath" Target="22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87.xlsx" TargetMode="External"/></Relationships>
</file>

<file path=xl/externalLinks/_rels/externalLink280.xml.rels><?xml version="1.0" encoding="UTF-8" standalone="yes"?>
<Relationships xmlns="http://schemas.openxmlformats.org/package/2006/relationships"><Relationship Id="rId1" Type="http://schemas.openxmlformats.org/officeDocument/2006/relationships/externalLinkPath" Target="2251.xlsx" TargetMode="External"/></Relationships>
</file>

<file path=xl/externalLinks/_rels/externalLink281.xml.rels><?xml version="1.0" encoding="UTF-8" standalone="yes"?>
<Relationships xmlns="http://schemas.openxmlformats.org/package/2006/relationships"><Relationship Id="rId1" Type="http://schemas.openxmlformats.org/officeDocument/2006/relationships/externalLinkPath" Target="2253.xlsx" TargetMode="External"/></Relationships>
</file>

<file path=xl/externalLinks/_rels/externalLink282.xml.rels><?xml version="1.0" encoding="UTF-8" standalone="yes"?>
<Relationships xmlns="http://schemas.openxmlformats.org/package/2006/relationships"><Relationship Id="rId1" Type="http://schemas.openxmlformats.org/officeDocument/2006/relationships/externalLinkPath" Target="2379.xlsx" TargetMode="External"/></Relationships>
</file>

<file path=xl/externalLinks/_rels/externalLink283.xml.rels><?xml version="1.0" encoding="UTF-8" standalone="yes"?>
<Relationships xmlns="http://schemas.openxmlformats.org/package/2006/relationships"><Relationship Id="rId1" Type="http://schemas.openxmlformats.org/officeDocument/2006/relationships/externalLinkPath" Target="2414.xlsx" TargetMode="External"/></Relationships>
</file>

<file path=xl/externalLinks/_rels/externalLink284.xml.rels><?xml version="1.0" encoding="UTF-8" standalone="yes"?>
<Relationships xmlns="http://schemas.openxmlformats.org/package/2006/relationships"><Relationship Id="rId1" Type="http://schemas.openxmlformats.org/officeDocument/2006/relationships/externalLinkPath" Target="2481.xlsx" TargetMode="External"/></Relationships>
</file>

<file path=xl/externalLinks/_rels/externalLink285.xml.rels><?xml version="1.0" encoding="UTF-8" standalone="yes"?>
<Relationships xmlns="http://schemas.openxmlformats.org/package/2006/relationships"><Relationship Id="rId1" Type="http://schemas.openxmlformats.org/officeDocument/2006/relationships/externalLinkPath" Target="2489.xlsx" TargetMode="External"/></Relationships>
</file>

<file path=xl/externalLinks/_rels/externalLink286.xml.rels><?xml version="1.0" encoding="UTF-8" standalone="yes"?>
<Relationships xmlns="http://schemas.openxmlformats.org/package/2006/relationships"><Relationship Id="rId1" Type="http://schemas.openxmlformats.org/officeDocument/2006/relationships/externalLinkPath" Target="2602.xlsx" TargetMode="External"/></Relationships>
</file>

<file path=xl/externalLinks/_rels/externalLink287.xml.rels><?xml version="1.0" encoding="UTF-8" standalone="yes"?>
<Relationships xmlns="http://schemas.openxmlformats.org/package/2006/relationships"><Relationship Id="rId1" Type="http://schemas.openxmlformats.org/officeDocument/2006/relationships/externalLinkPath" Target="2619.xlsx" TargetMode="External"/></Relationships>
</file>

<file path=xl/externalLinks/_rels/externalLink288.xml.rels><?xml version="1.0" encoding="UTF-8" standalone="yes"?>
<Relationships xmlns="http://schemas.openxmlformats.org/package/2006/relationships"><Relationship Id="rId1" Type="http://schemas.openxmlformats.org/officeDocument/2006/relationships/externalLinkPath" Target="2621.xlsx" TargetMode="External"/></Relationships>
</file>

<file path=xl/externalLinks/_rels/externalLink289.xml.rels><?xml version="1.0" encoding="UTF-8" standalone="yes"?>
<Relationships xmlns="http://schemas.openxmlformats.org/package/2006/relationships"><Relationship Id="rId1" Type="http://schemas.openxmlformats.org/officeDocument/2006/relationships/externalLinkPath" Target="1050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88.xlsx" TargetMode="External"/></Relationships>
</file>

<file path=xl/externalLinks/_rels/externalLink290.xml.rels><?xml version="1.0" encoding="UTF-8" standalone="yes"?>
<Relationships xmlns="http://schemas.openxmlformats.org/package/2006/relationships"><Relationship Id="rId1" Type="http://schemas.openxmlformats.org/officeDocument/2006/relationships/externalLinkPath" Target="11808.xlsx" TargetMode="External"/></Relationships>
</file>

<file path=xl/externalLinks/_rels/externalLink291.xml.rels><?xml version="1.0" encoding="UTF-8" standalone="yes"?>
<Relationships xmlns="http://schemas.openxmlformats.org/package/2006/relationships"><Relationship Id="rId1" Type="http://schemas.openxmlformats.org/officeDocument/2006/relationships/externalLinkPath" Target="11842.xlsx" TargetMode="External"/></Relationships>
</file>

<file path=xl/externalLinks/_rels/externalLink292.xml.rels><?xml version="1.0" encoding="UTF-8" standalone="yes"?>
<Relationships xmlns="http://schemas.openxmlformats.org/package/2006/relationships"><Relationship Id="rId1" Type="http://schemas.openxmlformats.org/officeDocument/2006/relationships/externalLinkPath" Target="12298.xlsx" TargetMode="External"/></Relationships>
</file>

<file path=xl/externalLinks/_rels/externalLink293.xml.rels><?xml version="1.0" encoding="UTF-8" standalone="yes"?>
<Relationships xmlns="http://schemas.openxmlformats.org/package/2006/relationships"><Relationship Id="rId1" Type="http://schemas.openxmlformats.org/officeDocument/2006/relationships/externalLinkPath" Target="14973.xlsx" TargetMode="External"/></Relationships>
</file>

<file path=xl/externalLinks/_rels/externalLink294.xml.rels><?xml version="1.0" encoding="UTF-8" standalone="yes"?>
<Relationships xmlns="http://schemas.openxmlformats.org/package/2006/relationships"><Relationship Id="rId1" Type="http://schemas.openxmlformats.org/officeDocument/2006/relationships/externalLinkPath" Target="28546.xlsx" TargetMode="External"/></Relationships>
</file>

<file path=xl/externalLinks/_rels/externalLink295.xml.rels><?xml version="1.0" encoding="UTF-8" standalone="yes"?>
<Relationships xmlns="http://schemas.openxmlformats.org/package/2006/relationships"><Relationship Id="rId1" Type="http://schemas.openxmlformats.org/officeDocument/2006/relationships/externalLinkPath" Target="31238.xlsx" TargetMode="External"/></Relationships>
</file>

<file path=xl/externalLinks/_rels/externalLink296.xml.rels><?xml version="1.0" encoding="UTF-8" standalone="yes"?>
<Relationships xmlns="http://schemas.openxmlformats.org/package/2006/relationships"><Relationship Id="rId1" Type="http://schemas.openxmlformats.org/officeDocument/2006/relationships/externalLinkPath" Target="100014.xlsx" TargetMode="External"/></Relationships>
</file>

<file path=xl/externalLinks/_rels/externalLink297.xml.rels><?xml version="1.0" encoding="UTF-8" standalone="yes"?>
<Relationships xmlns="http://schemas.openxmlformats.org/package/2006/relationships"><Relationship Id="rId1" Type="http://schemas.openxmlformats.org/officeDocument/2006/relationships/externalLinkPath" Target="100024.xlsx" TargetMode="External"/></Relationships>
</file>

<file path=xl/externalLinks/_rels/externalLink298.xml.rels><?xml version="1.0" encoding="UTF-8" standalone="yes"?>
<Relationships xmlns="http://schemas.openxmlformats.org/package/2006/relationships"><Relationship Id="rId1" Type="http://schemas.openxmlformats.org/officeDocument/2006/relationships/externalLinkPath" Target="100028.xlsx" TargetMode="External"/></Relationships>
</file>

<file path=xl/externalLinks/_rels/externalLink299.xml.rels><?xml version="1.0" encoding="UTF-8" standalone="yes"?>
<Relationships xmlns="http://schemas.openxmlformats.org/package/2006/relationships"><Relationship Id="rId1" Type="http://schemas.openxmlformats.org/officeDocument/2006/relationships/externalLinkPath" Target="1000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91.xlsx" TargetMode="External"/></Relationships>
</file>

<file path=xl/externalLinks/_rels/externalLink300.xml.rels><?xml version="1.0" encoding="UTF-8" standalone="yes"?>
<Relationships xmlns="http://schemas.openxmlformats.org/package/2006/relationships"><Relationship Id="rId1" Type="http://schemas.openxmlformats.org/officeDocument/2006/relationships/externalLinkPath" Target="100052.xlsx" TargetMode="External"/></Relationships>
</file>

<file path=xl/externalLinks/_rels/externalLink301.xml.rels><?xml version="1.0" encoding="UTF-8" standalone="yes"?>
<Relationships xmlns="http://schemas.openxmlformats.org/package/2006/relationships"><Relationship Id="rId1" Type="http://schemas.openxmlformats.org/officeDocument/2006/relationships/externalLinkPath" Target="100053.xlsx" TargetMode="External"/></Relationships>
</file>

<file path=xl/externalLinks/_rels/externalLink302.xml.rels><?xml version="1.0" encoding="UTF-8" standalone="yes"?>
<Relationships xmlns="http://schemas.openxmlformats.org/package/2006/relationships"><Relationship Id="rId1" Type="http://schemas.openxmlformats.org/officeDocument/2006/relationships/externalLinkPath" Target="100078.xlsx" TargetMode="External"/></Relationships>
</file>

<file path=xl/externalLinks/_rels/externalLink303.xml.rels><?xml version="1.0" encoding="UTF-8" standalone="yes"?>
<Relationships xmlns="http://schemas.openxmlformats.org/package/2006/relationships"><Relationship Id="rId1" Type="http://schemas.openxmlformats.org/officeDocument/2006/relationships/externalLinkPath" Target="100079.xlsx" TargetMode="External"/></Relationships>
</file>

<file path=xl/externalLinks/_rels/externalLink304.xml.rels><?xml version="1.0" encoding="UTF-8" standalone="yes"?>
<Relationships xmlns="http://schemas.openxmlformats.org/package/2006/relationships"><Relationship Id="rId1" Type="http://schemas.openxmlformats.org/officeDocument/2006/relationships/externalLinkPath" Target="100080.xlsx" TargetMode="External"/></Relationships>
</file>

<file path=xl/externalLinks/_rels/externalLink305.xml.rels><?xml version="1.0" encoding="UTF-8" standalone="yes"?>
<Relationships xmlns="http://schemas.openxmlformats.org/package/2006/relationships"><Relationship Id="rId1" Type="http://schemas.openxmlformats.org/officeDocument/2006/relationships/externalLinkPath" Target="100081.xlsx" TargetMode="External"/></Relationships>
</file>

<file path=xl/externalLinks/_rels/externalLink306.xml.rels><?xml version="1.0" encoding="UTF-8" standalone="yes"?>
<Relationships xmlns="http://schemas.openxmlformats.org/package/2006/relationships"><Relationship Id="rId1" Type="http://schemas.openxmlformats.org/officeDocument/2006/relationships/externalLinkPath" Target="100084.xlsx" TargetMode="External"/></Relationships>
</file>

<file path=xl/externalLinks/_rels/externalLink307.xml.rels><?xml version="1.0" encoding="UTF-8" standalone="yes"?>
<Relationships xmlns="http://schemas.openxmlformats.org/package/2006/relationships"><Relationship Id="rId1" Type="http://schemas.openxmlformats.org/officeDocument/2006/relationships/externalLinkPath" Target="100088.xlsx" TargetMode="External"/></Relationships>
</file>

<file path=xl/externalLinks/_rels/externalLink308.xml.rels><?xml version="1.0" encoding="UTF-8" standalone="yes"?>
<Relationships xmlns="http://schemas.openxmlformats.org/package/2006/relationships"><Relationship Id="rId1" Type="http://schemas.openxmlformats.org/officeDocument/2006/relationships/externalLinkPath" Target="100117.xlsx" TargetMode="External"/></Relationships>
</file>

<file path=xl/externalLinks/_rels/externalLink309.xml.rels><?xml version="1.0" encoding="UTF-8" standalone="yes"?>
<Relationships xmlns="http://schemas.openxmlformats.org/package/2006/relationships"><Relationship Id="rId1" Type="http://schemas.openxmlformats.org/officeDocument/2006/relationships/externalLinkPath" Target="1001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94.xlsx" TargetMode="External"/></Relationships>
</file>

<file path=xl/externalLinks/_rels/externalLink310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2.xlsx" TargetMode="External"/></Relationships>
</file>

<file path=xl/externalLinks/_rels/externalLink311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4.xlsx" TargetMode="External"/></Relationships>
</file>

<file path=xl/externalLinks/_rels/externalLink312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5.xlsx" TargetMode="External"/></Relationships>
</file>

<file path=xl/externalLinks/_rels/externalLink313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7.xlsx" TargetMode="External"/></Relationships>
</file>

<file path=xl/externalLinks/_rels/externalLink314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8.xlsx" TargetMode="External"/></Relationships>
</file>

<file path=xl/externalLinks/_rels/externalLink315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9.xlsx" TargetMode="External"/></Relationships>
</file>

<file path=xl/externalLinks/_rels/externalLink316.xml.rels><?xml version="1.0" encoding="UTF-8" standalone="yes"?>
<Relationships xmlns="http://schemas.openxmlformats.org/package/2006/relationships"><Relationship Id="rId1" Type="http://schemas.openxmlformats.org/officeDocument/2006/relationships/externalLinkPath" Target="100136.xlsx" TargetMode="External"/></Relationships>
</file>

<file path=xl/externalLinks/_rels/externalLink317.xml.rels><?xml version="1.0" encoding="UTF-8" standalone="yes"?>
<Relationships xmlns="http://schemas.openxmlformats.org/package/2006/relationships"><Relationship Id="rId1" Type="http://schemas.openxmlformats.org/officeDocument/2006/relationships/externalLinkPath" Target="100138.xlsx" TargetMode="External"/></Relationships>
</file>

<file path=xl/externalLinks/_rels/externalLink318.xml.rels><?xml version="1.0" encoding="UTF-8" standalone="yes"?>
<Relationships xmlns="http://schemas.openxmlformats.org/package/2006/relationships"><Relationship Id="rId1" Type="http://schemas.openxmlformats.org/officeDocument/2006/relationships/externalLinkPath" Target="100140.xlsx" TargetMode="External"/></Relationships>
</file>

<file path=xl/externalLinks/_rels/externalLink319.xml.rels><?xml version="1.0" encoding="UTF-8" standalone="yes"?>
<Relationships xmlns="http://schemas.openxmlformats.org/package/2006/relationships"><Relationship Id="rId1" Type="http://schemas.openxmlformats.org/officeDocument/2006/relationships/externalLinkPath" Target="10015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99.xlsx" TargetMode="External"/></Relationships>
</file>

<file path=xl/externalLinks/_rels/externalLink320.xml.rels><?xml version="1.0" encoding="UTF-8" standalone="yes"?>
<Relationships xmlns="http://schemas.openxmlformats.org/package/2006/relationships"><Relationship Id="rId1" Type="http://schemas.openxmlformats.org/officeDocument/2006/relationships/externalLinkPath" Target="100176.xlsx" TargetMode="External"/></Relationships>
</file>

<file path=xl/externalLinks/_rels/externalLink321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3.xlsx" TargetMode="External"/></Relationships>
</file>

<file path=xl/externalLinks/_rels/externalLink322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4.xlsx" TargetMode="External"/></Relationships>
</file>

<file path=xl/externalLinks/_rels/externalLink323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5.xlsx" TargetMode="External"/></Relationships>
</file>

<file path=xl/externalLinks/_rels/externalLink324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6.xlsx" TargetMode="External"/></Relationships>
</file>

<file path=xl/externalLinks/_rels/externalLink325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7.xlsx" TargetMode="External"/></Relationships>
</file>

<file path=xl/externalLinks/_rels/externalLink326.xml.rels><?xml version="1.0" encoding="UTF-8" standalone="yes"?>
<Relationships xmlns="http://schemas.openxmlformats.org/package/2006/relationships"><Relationship Id="rId1" Type="http://schemas.openxmlformats.org/officeDocument/2006/relationships/externalLinkPath" Target="100188.xlsx" TargetMode="External"/></Relationships>
</file>

<file path=xl/externalLinks/_rels/externalLink327.xml.rels><?xml version="1.0" encoding="UTF-8" standalone="yes"?>
<Relationships xmlns="http://schemas.openxmlformats.org/package/2006/relationships"><Relationship Id="rId1" Type="http://schemas.openxmlformats.org/officeDocument/2006/relationships/externalLinkPath" Target="100192.xlsx" TargetMode="External"/></Relationships>
</file>

<file path=xl/externalLinks/_rels/externalLink328.xml.rels><?xml version="1.0" encoding="UTF-8" standalone="yes"?>
<Relationships xmlns="http://schemas.openxmlformats.org/package/2006/relationships"><Relationship Id="rId1" Type="http://schemas.openxmlformats.org/officeDocument/2006/relationships/externalLinkPath" Target="100196.xlsx" TargetMode="External"/></Relationships>
</file>

<file path=xl/externalLinks/_rels/externalLink329.xml.rels><?xml version="1.0" encoding="UTF-8" standalone="yes"?>
<Relationships xmlns="http://schemas.openxmlformats.org/package/2006/relationships"><Relationship Id="rId1" Type="http://schemas.openxmlformats.org/officeDocument/2006/relationships/externalLinkPath" Target="100197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x" TargetMode="External"/></Relationships>
</file>

<file path=xl/externalLinks/_rels/externalLink330.xml.rels><?xml version="1.0" encoding="UTF-8" standalone="yes"?>
<Relationships xmlns="http://schemas.openxmlformats.org/package/2006/relationships"><Relationship Id="rId1" Type="http://schemas.openxmlformats.org/officeDocument/2006/relationships/externalLinkPath" Target="100198.xlsx" TargetMode="External"/></Relationships>
</file>

<file path=xl/externalLinks/_rels/externalLink331.xml.rels><?xml version="1.0" encoding="UTF-8" standalone="yes"?>
<Relationships xmlns="http://schemas.openxmlformats.org/package/2006/relationships"><Relationship Id="rId1" Type="http://schemas.openxmlformats.org/officeDocument/2006/relationships/externalLinkPath" Target="100199.xlsx" TargetMode="External"/></Relationships>
</file>

<file path=xl/externalLinks/_rels/externalLink332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0.xlsx" TargetMode="External"/></Relationships>
</file>

<file path=xl/externalLinks/_rels/externalLink333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1.xlsx" TargetMode="External"/></Relationships>
</file>

<file path=xl/externalLinks/_rels/externalLink334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2.xlsx" TargetMode="External"/></Relationships>
</file>

<file path=xl/externalLinks/_rels/externalLink335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3.xlsx" TargetMode="External"/></Relationships>
</file>

<file path=xl/externalLinks/_rels/externalLink336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4.xlsx" TargetMode="External"/></Relationships>
</file>

<file path=xl/externalLinks/_rels/externalLink337.xml.rels><?xml version="1.0" encoding="UTF-8" standalone="yes"?>
<Relationships xmlns="http://schemas.openxmlformats.org/package/2006/relationships"><Relationship Id="rId1" Type="http://schemas.openxmlformats.org/officeDocument/2006/relationships/externalLinkPath" Target="100205.xlsx" TargetMode="External"/></Relationships>
</file>

<file path=xl/externalLinks/_rels/externalLink338.xml.rels><?xml version="1.0" encoding="UTF-8" standalone="yes"?>
<Relationships xmlns="http://schemas.openxmlformats.org/package/2006/relationships"><Relationship Id="rId1" Type="http://schemas.openxmlformats.org/officeDocument/2006/relationships/externalLinkPath" Target="1002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10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10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13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10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105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10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2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107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10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10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111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11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116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118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12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130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13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3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135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137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138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141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142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143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14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146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147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14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4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165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166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167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186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193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195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198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199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200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20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5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205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208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210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211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219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223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239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242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249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25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6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253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254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255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256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257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260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261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263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265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26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7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270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272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275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277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278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281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282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284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285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28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Fitzroy</v>
          </cell>
          <cell r="J4">
            <v>125.41499999999999</v>
          </cell>
        </row>
        <row r="5">
          <cell r="G5" t="str">
            <v>Australia</v>
          </cell>
          <cell r="J5">
            <v>-18.405000000000001</v>
          </cell>
        </row>
        <row r="7">
          <cell r="D7">
            <v>43922</v>
          </cell>
        </row>
        <row r="8">
          <cell r="D8">
            <v>51.484416522174151</v>
          </cell>
          <cell r="H8" t="str">
            <v>2</v>
          </cell>
        </row>
        <row r="9">
          <cell r="D9">
            <v>6.3449030773137007</v>
          </cell>
          <cell r="H9">
            <v>1.5053396507485861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Irrawaddy</v>
          </cell>
          <cell r="J4">
            <v>94.814999999999998</v>
          </cell>
        </row>
        <row r="5">
          <cell r="G5" t="str">
            <v>Myanmar</v>
          </cell>
          <cell r="J5">
            <v>20.564</v>
          </cell>
        </row>
        <row r="7">
          <cell r="D7">
            <v>43922</v>
          </cell>
        </row>
        <row r="8">
          <cell r="D8">
            <v>5506.3596436595981</v>
          </cell>
          <cell r="H8" t="str">
            <v>1</v>
          </cell>
        </row>
        <row r="9">
          <cell r="D9">
            <v>11.425072495446932</v>
          </cell>
          <cell r="H9">
            <v>0.73042118576337889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Ravi</v>
          </cell>
          <cell r="J4">
            <v>74.025000000000006</v>
          </cell>
        </row>
        <row r="5">
          <cell r="G5" t="str">
            <v>Pakistan</v>
          </cell>
          <cell r="J5">
            <v>31.363999999999997</v>
          </cell>
        </row>
        <row r="7">
          <cell r="D7">
            <v>43922</v>
          </cell>
        </row>
        <row r="8">
          <cell r="D8">
            <v>238.47657141965561</v>
          </cell>
          <cell r="H8" t="str">
            <v>2</v>
          </cell>
        </row>
        <row r="9">
          <cell r="D9">
            <v>6.7566475017930054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70.784999999999997</v>
          </cell>
        </row>
        <row r="5">
          <cell r="G5" t="str">
            <v>Pakistan</v>
          </cell>
          <cell r="J5">
            <v>31.094000000000001</v>
          </cell>
        </row>
        <row r="7">
          <cell r="D7">
            <v>43922</v>
          </cell>
        </row>
        <row r="8">
          <cell r="D8">
            <v>844.99221237833967</v>
          </cell>
          <cell r="H8" t="str">
            <v>2</v>
          </cell>
        </row>
        <row r="9">
          <cell r="D9">
            <v>1.3400151313793041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70.875</v>
          </cell>
        </row>
        <row r="5">
          <cell r="G5" t="str">
            <v>Pakistan</v>
          </cell>
          <cell r="J5">
            <v>31.634</v>
          </cell>
        </row>
        <row r="7">
          <cell r="D7">
            <v>43922</v>
          </cell>
        </row>
        <row r="8">
          <cell r="D8">
            <v>2285.3902639796224</v>
          </cell>
          <cell r="H8" t="str">
            <v>2</v>
          </cell>
        </row>
        <row r="9">
          <cell r="D9">
            <v>3.5162205989899786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71.234999999999999</v>
          </cell>
        </row>
        <row r="5">
          <cell r="G5" t="str">
            <v>Pakistan</v>
          </cell>
          <cell r="J5">
            <v>32.173999999999999</v>
          </cell>
        </row>
        <row r="7">
          <cell r="D7">
            <v>43922</v>
          </cell>
        </row>
        <row r="8">
          <cell r="D8">
            <v>167.09705826915979</v>
          </cell>
          <cell r="H8" t="str">
            <v>1</v>
          </cell>
        </row>
        <row r="9">
          <cell r="D9">
            <v>0.8274327254010736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72.495000000000005</v>
          </cell>
        </row>
        <row r="5">
          <cell r="G5" t="str">
            <v>Pakistan</v>
          </cell>
          <cell r="J5">
            <v>33.974000000000004</v>
          </cell>
        </row>
        <row r="7">
          <cell r="D7">
            <v>43922</v>
          </cell>
        </row>
        <row r="8">
          <cell r="D8">
            <v>294.23719548453391</v>
          </cell>
          <cell r="H8" t="str">
            <v>1</v>
          </cell>
        </row>
        <row r="9">
          <cell r="D9">
            <v>0.86768788174516176</v>
          </cell>
          <cell r="H9">
            <v>0.73477511493804781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Kabul</v>
          </cell>
          <cell r="J4">
            <v>70.784999999999997</v>
          </cell>
        </row>
        <row r="5">
          <cell r="G5" t="str">
            <v>Pakistan</v>
          </cell>
          <cell r="J5">
            <v>34.334000000000003</v>
          </cell>
        </row>
        <row r="7">
          <cell r="D7">
            <v>43922</v>
          </cell>
        </row>
        <row r="8">
          <cell r="D8">
            <v>378.91749323127181</v>
          </cell>
          <cell r="H8" t="str">
            <v>2</v>
          </cell>
        </row>
        <row r="9">
          <cell r="D9" t="e">
            <v>#N/A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Lena</v>
          </cell>
          <cell r="J4">
            <v>124.965</v>
          </cell>
        </row>
        <row r="5">
          <cell r="G5" t="str">
            <v>Russia</v>
          </cell>
          <cell r="J5">
            <v>69.614000000000004</v>
          </cell>
        </row>
        <row r="7">
          <cell r="D7">
            <v>43279</v>
          </cell>
        </row>
        <row r="8">
          <cell r="D8">
            <v>12770.474491902854</v>
          </cell>
          <cell r="H8" t="str">
            <v>2</v>
          </cell>
        </row>
        <row r="9">
          <cell r="D9">
            <v>3.3757019766643683</v>
          </cell>
          <cell r="H9">
            <v>1.4164842301049254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Ob</v>
          </cell>
          <cell r="J4">
            <v>80.954999999999998</v>
          </cell>
        </row>
        <row r="5">
          <cell r="G5" t="str">
            <v>Russia</v>
          </cell>
          <cell r="J5">
            <v>59.084000000000003</v>
          </cell>
        </row>
        <row r="7">
          <cell r="D7">
            <v>43923</v>
          </cell>
        </row>
        <row r="8">
          <cell r="D8">
            <v>1182.2641141394365</v>
          </cell>
          <cell r="H8" t="str">
            <v>1</v>
          </cell>
        </row>
        <row r="9">
          <cell r="D9">
            <v>1.4310568271001283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Ob</v>
          </cell>
          <cell r="J4">
            <v>78.974999999999994</v>
          </cell>
        </row>
        <row r="5">
          <cell r="G5" t="str">
            <v>Russia</v>
          </cell>
          <cell r="J5">
            <v>59.893999999999998</v>
          </cell>
        </row>
        <row r="7">
          <cell r="D7">
            <v>43923</v>
          </cell>
        </row>
        <row r="8">
          <cell r="D8">
            <v>2943.2463375576654</v>
          </cell>
          <cell r="H8" t="str">
            <v>1</v>
          </cell>
        </row>
        <row r="9">
          <cell r="D9">
            <v>3.1162009675748221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Ob</v>
          </cell>
          <cell r="J4">
            <v>75.734999999999999</v>
          </cell>
        </row>
        <row r="5">
          <cell r="G5" t="str">
            <v>Russia</v>
          </cell>
          <cell r="J5">
            <v>61.064</v>
          </cell>
        </row>
        <row r="7">
          <cell r="D7">
            <v>43923</v>
          </cell>
        </row>
        <row r="8">
          <cell r="D8">
            <v>1663.1651582311529</v>
          </cell>
          <cell r="H8" t="str">
            <v>1</v>
          </cell>
        </row>
        <row r="9">
          <cell r="D9">
            <v>2.1296628540134526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Irrawaddy</v>
          </cell>
          <cell r="J4">
            <v>95.444999999999993</v>
          </cell>
        </row>
        <row r="5">
          <cell r="G5" t="str">
            <v>Myanmar</v>
          </cell>
          <cell r="J5">
            <v>18.043999999999997</v>
          </cell>
        </row>
        <row r="7">
          <cell r="D7">
            <v>43923</v>
          </cell>
        </row>
        <row r="8">
          <cell r="D8">
            <v>2044.6604994350146</v>
          </cell>
          <cell r="H8" t="str">
            <v>1</v>
          </cell>
        </row>
        <row r="9">
          <cell r="D9">
            <v>2.9062180166732725</v>
          </cell>
          <cell r="H9">
            <v>0.48256611821230111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Volga</v>
          </cell>
          <cell r="J4">
            <v>46.394999999999996</v>
          </cell>
        </row>
        <row r="5">
          <cell r="G5" t="str">
            <v>Russia</v>
          </cell>
          <cell r="J5">
            <v>47.834000000000003</v>
          </cell>
        </row>
        <row r="7">
          <cell r="D7">
            <v>43923</v>
          </cell>
        </row>
        <row r="8">
          <cell r="D8">
            <v>4661.0512990425141</v>
          </cell>
          <cell r="H8" t="str">
            <v>2</v>
          </cell>
        </row>
        <row r="9">
          <cell r="D9">
            <v>40.21436377249546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Volga</v>
          </cell>
          <cell r="J4">
            <v>48.284999999999997</v>
          </cell>
        </row>
        <row r="5">
          <cell r="G5" t="str">
            <v>Russia</v>
          </cell>
          <cell r="J5">
            <v>46.484000000000002</v>
          </cell>
        </row>
        <row r="7">
          <cell r="D7">
            <v>43923</v>
          </cell>
        </row>
        <row r="8">
          <cell r="D8">
            <v>839.7895893280936</v>
          </cell>
          <cell r="H8" t="str">
            <v>2</v>
          </cell>
        </row>
        <row r="9">
          <cell r="D9">
            <v>4.6492451315254835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Don</v>
          </cell>
          <cell r="J4">
            <v>43.965000000000003</v>
          </cell>
        </row>
        <row r="5">
          <cell r="G5" t="str">
            <v>Russia</v>
          </cell>
          <cell r="J5">
            <v>49.094000000000001</v>
          </cell>
        </row>
        <row r="7">
          <cell r="D7">
            <v>43923</v>
          </cell>
        </row>
        <row r="8">
          <cell r="D8">
            <v>130.22747440175982</v>
          </cell>
          <cell r="H8" t="str">
            <v>1</v>
          </cell>
        </row>
        <row r="9">
          <cell r="D9">
            <v>0.35381876087876141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Jenisei</v>
          </cell>
          <cell r="J4">
            <v>87.435000000000002</v>
          </cell>
        </row>
        <row r="5">
          <cell r="G5" t="str">
            <v>Russia</v>
          </cell>
          <cell r="J5">
            <v>66.103999999999999</v>
          </cell>
        </row>
        <row r="7">
          <cell r="D7">
            <v>43923</v>
          </cell>
        </row>
        <row r="8">
          <cell r="D8">
            <v>5381.8585346080845</v>
          </cell>
          <cell r="H8" t="str">
            <v>2</v>
          </cell>
        </row>
        <row r="9">
          <cell r="D9">
            <v>1.5238939759900434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Pur</v>
          </cell>
          <cell r="J4">
            <v>77.984999999999999</v>
          </cell>
        </row>
        <row r="5">
          <cell r="G5" t="str">
            <v>Russia</v>
          </cell>
          <cell r="J5">
            <v>65.384</v>
          </cell>
        </row>
        <row r="7">
          <cell r="D7">
            <v>43923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Big Black</v>
          </cell>
          <cell r="J4">
            <v>-90.313999999999993</v>
          </cell>
        </row>
        <row r="5">
          <cell r="G5" t="str">
            <v>USA</v>
          </cell>
          <cell r="J5">
            <v>32.623999999999995</v>
          </cell>
        </row>
        <row r="7">
          <cell r="D7">
            <v>43923</v>
          </cell>
        </row>
        <row r="8">
          <cell r="H8" t="str">
            <v>2</v>
          </cell>
        </row>
        <row r="9">
          <cell r="D9">
            <v>32.240204126302409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Ouachita</v>
          </cell>
          <cell r="J4">
            <v>-91.843999999999994</v>
          </cell>
        </row>
        <row r="5">
          <cell r="G5" t="str">
            <v>USA</v>
          </cell>
          <cell r="J5">
            <v>31.904</v>
          </cell>
        </row>
        <row r="7">
          <cell r="D7">
            <v>43923</v>
          </cell>
        </row>
        <row r="8">
          <cell r="D8">
            <v>1699.4210229364278</v>
          </cell>
          <cell r="H8" t="str">
            <v>2</v>
          </cell>
        </row>
        <row r="9">
          <cell r="D9">
            <v>20.290041311830031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Red River</v>
          </cell>
          <cell r="J4">
            <v>-93.554000000000002</v>
          </cell>
        </row>
        <row r="5">
          <cell r="G5" t="str">
            <v>USA</v>
          </cell>
          <cell r="J5">
            <v>32.353999999999999</v>
          </cell>
        </row>
        <row r="7">
          <cell r="D7">
            <v>43923</v>
          </cell>
        </row>
        <row r="8">
          <cell r="D8">
            <v>1319.8663454952793</v>
          </cell>
          <cell r="H8" t="str">
            <v>2</v>
          </cell>
        </row>
        <row r="9">
          <cell r="D9">
            <v>4.4110171074606175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Trinity</v>
          </cell>
          <cell r="J4">
            <v>-95.623999999999995</v>
          </cell>
        </row>
        <row r="5">
          <cell r="G5" t="str">
            <v>USA</v>
          </cell>
          <cell r="J5">
            <v>30.914000000000001</v>
          </cell>
        </row>
        <row r="7">
          <cell r="D7">
            <v>43923</v>
          </cell>
        </row>
        <row r="8">
          <cell r="D8">
            <v>264.27172263958096</v>
          </cell>
          <cell r="H8" t="str">
            <v>2</v>
          </cell>
        </row>
        <row r="9">
          <cell r="D9">
            <v>2.8707924605426163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Trinity</v>
          </cell>
          <cell r="J4">
            <v>-95.894000000000005</v>
          </cell>
        </row>
        <row r="5">
          <cell r="G5" t="str">
            <v>USA</v>
          </cell>
          <cell r="J5">
            <v>31.723999999999997</v>
          </cell>
        </row>
        <row r="7">
          <cell r="D7">
            <v>43923</v>
          </cell>
        </row>
        <row r="8">
          <cell r="D8">
            <v>912.91309540226553</v>
          </cell>
          <cell r="H8" t="str">
            <v>2</v>
          </cell>
        </row>
        <row r="9">
          <cell r="D9">
            <v>14.928954298777317</v>
          </cell>
          <cell r="H9">
            <v>5.5823606462756281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Mekong</v>
          </cell>
          <cell r="J4">
            <v>105.255</v>
          </cell>
        </row>
        <row r="5">
          <cell r="G5" t="str">
            <v>Cambodia</v>
          </cell>
          <cell r="J5">
            <v>11.294</v>
          </cell>
        </row>
        <row r="7">
          <cell r="D7">
            <v>43921</v>
          </cell>
        </row>
        <row r="8">
          <cell r="D8">
            <v>4060.6492681158416</v>
          </cell>
          <cell r="H8" t="str">
            <v>2</v>
          </cell>
        </row>
        <row r="9">
          <cell r="D9">
            <v>3.1975772561714777</v>
          </cell>
          <cell r="H9">
            <v>0.76558235769711913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Trinity</v>
          </cell>
          <cell r="J4">
            <v>-96.524000000000001</v>
          </cell>
        </row>
        <row r="5">
          <cell r="G5" t="str">
            <v>USA</v>
          </cell>
          <cell r="J5">
            <v>32.533999999999999</v>
          </cell>
        </row>
        <row r="7">
          <cell r="D7">
            <v>43923</v>
          </cell>
        </row>
        <row r="8">
          <cell r="D8">
            <v>177.07049918524234</v>
          </cell>
          <cell r="H8" t="str">
            <v>2</v>
          </cell>
        </row>
        <row r="9">
          <cell r="D9">
            <v>11.979541870641688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Alabama</v>
          </cell>
          <cell r="J4">
            <v>-87.704000000000008</v>
          </cell>
        </row>
        <row r="5">
          <cell r="G5" t="str">
            <v>USA</v>
          </cell>
          <cell r="J5">
            <v>31.363999999999997</v>
          </cell>
        </row>
        <row r="7">
          <cell r="D7">
            <v>43923</v>
          </cell>
        </row>
        <row r="8">
          <cell r="D8">
            <v>2043.8240900717606</v>
          </cell>
          <cell r="H8" t="str">
            <v>2</v>
          </cell>
        </row>
        <row r="9">
          <cell r="D9">
            <v>22.288448382970913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Arkansas</v>
          </cell>
          <cell r="J4">
            <v>-92.653999999999996</v>
          </cell>
        </row>
        <row r="5">
          <cell r="G5" t="str">
            <v>USA</v>
          </cell>
          <cell r="J5">
            <v>35.054000000000002</v>
          </cell>
        </row>
        <row r="7">
          <cell r="D7">
            <v>43923</v>
          </cell>
        </row>
        <row r="8">
          <cell r="D8">
            <v>13987.500323095661</v>
          </cell>
          <cell r="H8" t="str">
            <v>3</v>
          </cell>
        </row>
        <row r="9">
          <cell r="D9" t="e">
            <v>#N/A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Arkansas</v>
          </cell>
          <cell r="J4">
            <v>-94.183999999999997</v>
          </cell>
        </row>
        <row r="5">
          <cell r="G5" t="str">
            <v>USA</v>
          </cell>
          <cell r="J5">
            <v>35.414000000000001</v>
          </cell>
        </row>
        <row r="7">
          <cell r="D7">
            <v>43923</v>
          </cell>
        </row>
        <row r="8">
          <cell r="D8">
            <v>10791.966381415787</v>
          </cell>
          <cell r="H8" t="str">
            <v>3</v>
          </cell>
        </row>
        <row r="9">
          <cell r="D9">
            <v>140.93631233075502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Missouri</v>
          </cell>
          <cell r="J4">
            <v>-93.463999999999999</v>
          </cell>
        </row>
        <row r="5">
          <cell r="G5" t="str">
            <v>USA</v>
          </cell>
          <cell r="J5">
            <v>39.283999999999999</v>
          </cell>
        </row>
        <row r="7">
          <cell r="D7">
            <v>43923</v>
          </cell>
        </row>
        <row r="8">
          <cell r="D8">
            <v>4580.424131145649</v>
          </cell>
          <cell r="H8" t="str">
            <v>2</v>
          </cell>
        </row>
        <row r="9">
          <cell r="D9" t="e">
            <v>#N/A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Grand</v>
          </cell>
          <cell r="J4">
            <v>-93.283999999999992</v>
          </cell>
        </row>
        <row r="5">
          <cell r="G5" t="str">
            <v>USA</v>
          </cell>
          <cell r="J5">
            <v>39.643999999999998</v>
          </cell>
        </row>
        <row r="7">
          <cell r="D7">
            <v>43923</v>
          </cell>
        </row>
        <row r="8">
          <cell r="D8">
            <v>2262.8096004048111</v>
          </cell>
          <cell r="H8" t="str">
            <v>2</v>
          </cell>
        </row>
        <row r="9">
          <cell r="D9">
            <v>3.9956856760456296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Mississippi</v>
          </cell>
          <cell r="J4">
            <v>-90.674000000000007</v>
          </cell>
        </row>
        <row r="5">
          <cell r="G5" t="str">
            <v>USA</v>
          </cell>
          <cell r="J5">
            <v>38.923999999999999</v>
          </cell>
        </row>
        <row r="7">
          <cell r="D7">
            <v>43923</v>
          </cell>
        </row>
        <row r="8">
          <cell r="D8">
            <v>5790.3642961814348</v>
          </cell>
          <cell r="H8" t="str">
            <v>3</v>
          </cell>
        </row>
        <row r="9">
          <cell r="D9">
            <v>9.3998989899603895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Mississippi</v>
          </cell>
          <cell r="J4">
            <v>-90.584000000000003</v>
          </cell>
        </row>
        <row r="5">
          <cell r="G5" t="str">
            <v>USA</v>
          </cell>
          <cell r="J5">
            <v>34.694000000000003</v>
          </cell>
        </row>
        <row r="7">
          <cell r="D7">
            <v>43923</v>
          </cell>
        </row>
        <row r="8">
          <cell r="D8">
            <v>24492.060131996579</v>
          </cell>
          <cell r="H8" t="str">
            <v>2</v>
          </cell>
        </row>
        <row r="9">
          <cell r="D9">
            <v>5.5271043489619469</v>
          </cell>
          <cell r="H9">
            <v>0.86540455154107654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Mississippi</v>
          </cell>
          <cell r="J4">
            <v>-89.593999999999994</v>
          </cell>
        </row>
        <row r="5">
          <cell r="G5" t="str">
            <v>USA</v>
          </cell>
          <cell r="J5">
            <v>36.314</v>
          </cell>
        </row>
        <row r="7">
          <cell r="D7">
            <v>43923</v>
          </cell>
        </row>
        <row r="8">
          <cell r="D8">
            <v>43959.295966896723</v>
          </cell>
          <cell r="H8" t="str">
            <v>3</v>
          </cell>
        </row>
        <row r="9">
          <cell r="D9">
            <v>11.141877304377054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Mississippi</v>
          </cell>
          <cell r="J4">
            <v>-89.504000000000005</v>
          </cell>
        </row>
        <row r="5">
          <cell r="G5" t="str">
            <v>USA</v>
          </cell>
          <cell r="J5">
            <v>36.494</v>
          </cell>
        </row>
        <row r="7">
          <cell r="D7">
            <v>43923</v>
          </cell>
        </row>
        <row r="8">
          <cell r="D8">
            <v>29162.086048286161</v>
          </cell>
          <cell r="H8" t="str">
            <v>2</v>
          </cell>
        </row>
        <row r="9">
          <cell r="D9">
            <v>7.3167434436686722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Poyang</v>
          </cell>
          <cell r="J4">
            <v>116.05500000000001</v>
          </cell>
        </row>
        <row r="5">
          <cell r="G5" t="str">
            <v>China</v>
          </cell>
          <cell r="J5">
            <v>29.293999999999997</v>
          </cell>
        </row>
        <row r="6">
          <cell r="K6">
            <v>262424</v>
          </cell>
        </row>
        <row r="7">
          <cell r="D7">
            <v>43914</v>
          </cell>
        </row>
        <row r="9">
          <cell r="H9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Ohio</v>
          </cell>
          <cell r="J4">
            <v>-87.614000000000004</v>
          </cell>
        </row>
        <row r="5">
          <cell r="G5" t="str">
            <v>USA</v>
          </cell>
          <cell r="J5">
            <v>37.933999999999997</v>
          </cell>
        </row>
        <row r="7">
          <cell r="D7">
            <v>43922</v>
          </cell>
        </row>
        <row r="8">
          <cell r="D8">
            <v>19760.522579917539</v>
          </cell>
          <cell r="H8" t="str">
            <v>3</v>
          </cell>
        </row>
        <row r="9">
          <cell r="D9">
            <v>40.620340470831614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Wabash</v>
          </cell>
          <cell r="J4">
            <v>-87.524000000000001</v>
          </cell>
        </row>
        <row r="5">
          <cell r="G5" t="str">
            <v>USA</v>
          </cell>
          <cell r="J5">
            <v>38.923999999999999</v>
          </cell>
        </row>
        <row r="7">
          <cell r="D7">
            <v>43922</v>
          </cell>
        </row>
        <row r="8">
          <cell r="D8">
            <v>666.71496924909661</v>
          </cell>
          <cell r="H8" t="str">
            <v>2</v>
          </cell>
        </row>
        <row r="9">
          <cell r="D9">
            <v>13.001432259945148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White</v>
          </cell>
          <cell r="J4">
            <v>-87.073999999999998</v>
          </cell>
        </row>
        <row r="5">
          <cell r="G5" t="str">
            <v>USA</v>
          </cell>
          <cell r="J5">
            <v>38.923999999999999</v>
          </cell>
        </row>
        <row r="7">
          <cell r="D7">
            <v>43921</v>
          </cell>
        </row>
        <row r="8">
          <cell r="D8">
            <v>945.17805094876451</v>
          </cell>
          <cell r="H8" t="str">
            <v>3</v>
          </cell>
        </row>
        <row r="9">
          <cell r="D9">
            <v>49.694685963817584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Red</v>
          </cell>
          <cell r="J4">
            <v>-97.153999999999996</v>
          </cell>
        </row>
        <row r="5">
          <cell r="G5" t="str">
            <v>USA</v>
          </cell>
          <cell r="J5">
            <v>48.823999999999998</v>
          </cell>
        </row>
        <row r="7">
          <cell r="D7">
            <v>43923</v>
          </cell>
        </row>
        <row r="8">
          <cell r="D8">
            <v>2709.9519820622868</v>
          </cell>
          <cell r="H8" t="str">
            <v>2</v>
          </cell>
        </row>
        <row r="9">
          <cell r="D9">
            <v>191.78730854319889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Kafue</v>
          </cell>
          <cell r="J4">
            <v>27.854999999999997</v>
          </cell>
        </row>
        <row r="5">
          <cell r="G5" t="str">
            <v>Zambia</v>
          </cell>
          <cell r="J5">
            <v>-13.365</v>
          </cell>
        </row>
        <row r="7">
          <cell r="D7">
            <v>43923</v>
          </cell>
        </row>
        <row r="8">
          <cell r="D8">
            <v>2599.0772022625088</v>
          </cell>
          <cell r="H8" t="str">
            <v>3</v>
          </cell>
        </row>
        <row r="9">
          <cell r="D9">
            <v>72.866451571943998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</v>
          </cell>
          <cell r="J4">
            <v>10.664999999999999</v>
          </cell>
        </row>
        <row r="5">
          <cell r="G5" t="str">
            <v>Italy</v>
          </cell>
          <cell r="J5">
            <v>44.954000000000001</v>
          </cell>
        </row>
        <row r="7">
          <cell r="D7">
            <v>43922</v>
          </cell>
        </row>
        <row r="8">
          <cell r="D8">
            <v>581.54110935874985</v>
          </cell>
          <cell r="H8" t="str">
            <v>2</v>
          </cell>
        </row>
        <row r="9">
          <cell r="D9">
            <v>6.1557929650862784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</v>
          </cell>
          <cell r="J4">
            <v>10.125</v>
          </cell>
        </row>
        <row r="5">
          <cell r="G5" t="str">
            <v>Italy</v>
          </cell>
          <cell r="J5">
            <v>45.043999999999997</v>
          </cell>
        </row>
        <row r="7">
          <cell r="D7">
            <v>43922</v>
          </cell>
        </row>
        <row r="8">
          <cell r="D8">
            <v>515.62279360894763</v>
          </cell>
          <cell r="H8" t="str">
            <v>1</v>
          </cell>
        </row>
        <row r="9">
          <cell r="D9">
            <v>5.9208039748049988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</v>
          </cell>
          <cell r="J4">
            <v>9.5850000000000009</v>
          </cell>
        </row>
        <row r="5">
          <cell r="G5" t="str">
            <v>Italy</v>
          </cell>
          <cell r="J5">
            <v>45.134</v>
          </cell>
        </row>
        <row r="7">
          <cell r="D7">
            <v>43922</v>
          </cell>
        </row>
        <row r="8">
          <cell r="D8">
            <v>405.50568252594246</v>
          </cell>
          <cell r="H8" t="str">
            <v>2</v>
          </cell>
        </row>
        <row r="9">
          <cell r="D9">
            <v>6.3429057559503006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</v>
          </cell>
          <cell r="J4">
            <v>9.2249999999999996</v>
          </cell>
        </row>
        <row r="5">
          <cell r="G5" t="str">
            <v>Italy</v>
          </cell>
          <cell r="J5">
            <v>45.134</v>
          </cell>
        </row>
        <row r="7">
          <cell r="D7">
            <v>43922</v>
          </cell>
        </row>
        <row r="8">
          <cell r="D8">
            <v>429.84019951309119</v>
          </cell>
          <cell r="H8" t="str">
            <v>2</v>
          </cell>
        </row>
        <row r="9">
          <cell r="D9">
            <v>7.0782966455297487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Ticino</v>
          </cell>
          <cell r="J4">
            <v>8.9550000000000001</v>
          </cell>
        </row>
        <row r="5">
          <cell r="G5" t="str">
            <v>Italy</v>
          </cell>
          <cell r="J5">
            <v>45.314</v>
          </cell>
        </row>
        <row r="7">
          <cell r="D7">
            <v>43922</v>
          </cell>
        </row>
        <row r="8">
          <cell r="D8">
            <v>233.79640224774266</v>
          </cell>
          <cell r="H8" t="str">
            <v>2</v>
          </cell>
        </row>
        <row r="9">
          <cell r="D9">
            <v>14.95122268012252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Atrato</v>
          </cell>
          <cell r="J4">
            <v>-76.994</v>
          </cell>
        </row>
        <row r="5">
          <cell r="G5" t="str">
            <v>Colombia</v>
          </cell>
          <cell r="J5">
            <v>7.1539999999999999</v>
          </cell>
        </row>
        <row r="7">
          <cell r="D7">
            <v>43923</v>
          </cell>
        </row>
        <row r="8">
          <cell r="D8">
            <v>2171.3594673811367</v>
          </cell>
          <cell r="H8" t="str">
            <v>1</v>
          </cell>
        </row>
        <row r="9">
          <cell r="D9">
            <v>55.431067937987414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</v>
          </cell>
          <cell r="J4">
            <v>8.4150000000000009</v>
          </cell>
        </row>
        <row r="5">
          <cell r="G5" t="str">
            <v>Italy</v>
          </cell>
          <cell r="J5">
            <v>45.134</v>
          </cell>
        </row>
        <row r="7">
          <cell r="D7">
            <v>43923</v>
          </cell>
        </row>
        <row r="8">
          <cell r="D8">
            <v>102.07823474865629</v>
          </cell>
          <cell r="H8" t="str">
            <v>2</v>
          </cell>
        </row>
        <row r="9">
          <cell r="D9">
            <v>4.4667968008073773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Thames</v>
          </cell>
          <cell r="J4">
            <v>-1.6640000000000001</v>
          </cell>
        </row>
        <row r="5">
          <cell r="G5" t="str">
            <v>UK</v>
          </cell>
          <cell r="J5">
            <v>51.704000000000001</v>
          </cell>
        </row>
        <row r="7">
          <cell r="D7">
            <v>43923</v>
          </cell>
        </row>
        <row r="8">
          <cell r="D8">
            <v>9.1980399881787243</v>
          </cell>
          <cell r="H8" t="str">
            <v>2</v>
          </cell>
        </row>
        <row r="9">
          <cell r="D9">
            <v>5.839775335927806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Prut</v>
          </cell>
          <cell r="J4">
            <v>28.215000000000003</v>
          </cell>
        </row>
        <row r="5">
          <cell r="G5" t="str">
            <v>Romania</v>
          </cell>
          <cell r="J5">
            <v>46.664000000000001</v>
          </cell>
        </row>
        <row r="7">
          <cell r="D7">
            <v>43923</v>
          </cell>
        </row>
        <row r="8">
          <cell r="D8">
            <v>89.964275003856443</v>
          </cell>
          <cell r="H8" t="str">
            <v>2</v>
          </cell>
        </row>
        <row r="9">
          <cell r="D9">
            <v>2.7612109548025257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Negro</v>
          </cell>
          <cell r="J4">
            <v>-54.494</v>
          </cell>
        </row>
        <row r="5">
          <cell r="G5" t="str">
            <v>Uruguay</v>
          </cell>
          <cell r="J5">
            <v>-31.725000000000001</v>
          </cell>
        </row>
        <row r="7">
          <cell r="D7">
            <v>43921</v>
          </cell>
        </row>
        <row r="8">
          <cell r="D8">
            <v>15.139499424913083</v>
          </cell>
          <cell r="H8" t="str">
            <v>1</v>
          </cell>
        </row>
        <row r="9">
          <cell r="D9">
            <v>3.2998648324229052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Negro</v>
          </cell>
          <cell r="J4">
            <v>-54.584000000000003</v>
          </cell>
        </row>
        <row r="5">
          <cell r="G5" t="str">
            <v>Uruguay</v>
          </cell>
          <cell r="J5">
            <v>-32.085000000000001</v>
          </cell>
        </row>
        <row r="7">
          <cell r="D7">
            <v>43921</v>
          </cell>
        </row>
        <row r="8">
          <cell r="D8">
            <v>0</v>
          </cell>
          <cell r="H8" t="str">
            <v>1</v>
          </cell>
        </row>
        <row r="9">
          <cell r="D9">
            <v>2.5833047023515136E-2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Tacuarembo</v>
          </cell>
          <cell r="J4">
            <v>-55.484000000000002</v>
          </cell>
        </row>
        <row r="5">
          <cell r="G5" t="str">
            <v>Uruguay</v>
          </cell>
          <cell r="J5">
            <v>-31.905000000000001</v>
          </cell>
        </row>
        <row r="7">
          <cell r="D7">
            <v>43921</v>
          </cell>
        </row>
        <row r="8">
          <cell r="D8">
            <v>60.568700776666446</v>
          </cell>
          <cell r="H8" t="str">
            <v>2</v>
          </cell>
        </row>
        <row r="9">
          <cell r="D9">
            <v>5.297402092304953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Cebollati</v>
          </cell>
          <cell r="J4">
            <v>-54.403999999999996</v>
          </cell>
        </row>
        <row r="5">
          <cell r="G5" t="str">
            <v>Uruguay</v>
          </cell>
          <cell r="J5">
            <v>-33.704999999999998</v>
          </cell>
        </row>
        <row r="7">
          <cell r="D7">
            <v>43922</v>
          </cell>
        </row>
        <row r="8">
          <cell r="D8">
            <v>18.35782985714286</v>
          </cell>
          <cell r="H8" t="str">
            <v>2</v>
          </cell>
        </row>
        <row r="9">
          <cell r="D9">
            <v>1.7628329532364666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Uruguay</v>
          </cell>
          <cell r="J4">
            <v>-58.183999999999997</v>
          </cell>
        </row>
        <row r="5">
          <cell r="G5" t="str">
            <v>Argentina</v>
          </cell>
          <cell r="J5">
            <v>-32.715000000000003</v>
          </cell>
        </row>
        <row r="7">
          <cell r="D7">
            <v>43923</v>
          </cell>
        </row>
        <row r="8">
          <cell r="D8">
            <v>462.38708403499913</v>
          </cell>
          <cell r="H8" t="str">
            <v>1</v>
          </cell>
        </row>
        <row r="9">
          <cell r="D9">
            <v>3.6739077945534686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Uruguay</v>
          </cell>
          <cell r="J4">
            <v>-58.094000000000001</v>
          </cell>
        </row>
        <row r="5">
          <cell r="G5" t="str">
            <v>Argentina</v>
          </cell>
          <cell r="J5">
            <v>-31.454999999999998</v>
          </cell>
        </row>
        <row r="7">
          <cell r="D7">
            <v>43923</v>
          </cell>
        </row>
        <row r="8">
          <cell r="D8">
            <v>2296.7995056249201</v>
          </cell>
          <cell r="H8" t="str">
            <v>1</v>
          </cell>
        </row>
        <row r="9">
          <cell r="D9">
            <v>5.1389125919033036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Parana</v>
          </cell>
          <cell r="J4">
            <v>-60.704000000000001</v>
          </cell>
        </row>
        <row r="5">
          <cell r="G5" t="str">
            <v>Argentina</v>
          </cell>
          <cell r="J5">
            <v>-32.354999999999997</v>
          </cell>
        </row>
        <row r="7">
          <cell r="D7">
            <v>43923</v>
          </cell>
        </row>
        <row r="8">
          <cell r="D8">
            <v>9738.6074196758636</v>
          </cell>
          <cell r="H8" t="str">
            <v>1</v>
          </cell>
        </row>
        <row r="9">
          <cell r="D9">
            <v>2.3612964742550377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9">
          <cell r="H9">
            <v>1.0832442572192886</v>
          </cell>
        </row>
      </sheetData>
      <sheetData sheetId="2"/>
      <sheetData sheetId="3"/>
      <sheetData sheetId="4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Parana</v>
          </cell>
          <cell r="J4">
            <v>-60.704000000000001</v>
          </cell>
        </row>
        <row r="5">
          <cell r="G5" t="str">
            <v>Argentina</v>
          </cell>
          <cell r="J5">
            <v>-31.814999999999998</v>
          </cell>
        </row>
        <row r="7">
          <cell r="D7">
            <v>43923</v>
          </cell>
        </row>
        <row r="8">
          <cell r="H8" t="str">
            <v>1</v>
          </cell>
        </row>
        <row r="9">
          <cell r="D9">
            <v>2.4098623881484062E-2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Parana</v>
          </cell>
          <cell r="J4">
            <v>-59.713999999999999</v>
          </cell>
        </row>
        <row r="5">
          <cell r="G5" t="str">
            <v>Argentina</v>
          </cell>
          <cell r="J5">
            <v>-30.375</v>
          </cell>
        </row>
        <row r="7">
          <cell r="D7">
            <v>43923</v>
          </cell>
        </row>
        <row r="8">
          <cell r="D8">
            <v>4459.3353442059888</v>
          </cell>
          <cell r="H8" t="str">
            <v>1</v>
          </cell>
        </row>
        <row r="9">
          <cell r="D9">
            <v>1.5820224467118771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Parana</v>
          </cell>
          <cell r="J4">
            <v>-59.444000000000003</v>
          </cell>
        </row>
        <row r="5">
          <cell r="G5" t="str">
            <v>Argentina</v>
          </cell>
          <cell r="J5">
            <v>-29.204999999999998</v>
          </cell>
        </row>
        <row r="7">
          <cell r="D7">
            <v>43923</v>
          </cell>
        </row>
        <row r="8">
          <cell r="D8">
            <v>14450.012691333977</v>
          </cell>
          <cell r="H8" t="str">
            <v>1</v>
          </cell>
        </row>
        <row r="9">
          <cell r="D9">
            <v>4.3821734511227142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Parana</v>
          </cell>
          <cell r="J4">
            <v>-59.084000000000003</v>
          </cell>
        </row>
        <row r="5">
          <cell r="G5" t="str">
            <v>Argentina</v>
          </cell>
          <cell r="J5">
            <v>-28.215000000000003</v>
          </cell>
        </row>
        <row r="7">
          <cell r="D7">
            <v>43923</v>
          </cell>
        </row>
        <row r="8">
          <cell r="D8">
            <v>11689.599224011996</v>
          </cell>
          <cell r="H8" t="str">
            <v>1</v>
          </cell>
        </row>
        <row r="9">
          <cell r="D9">
            <v>4.3900112580099844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Uruguay</v>
          </cell>
          <cell r="J4">
            <v>-56.653999999999996</v>
          </cell>
        </row>
        <row r="5">
          <cell r="G5" t="str">
            <v>Argentina</v>
          </cell>
          <cell r="J5">
            <v>-29.295000000000002</v>
          </cell>
        </row>
        <row r="7">
          <cell r="D7">
            <v>43923</v>
          </cell>
        </row>
        <row r="8">
          <cell r="D8">
            <v>2271.3155208319658</v>
          </cell>
          <cell r="H8" t="str">
            <v>2</v>
          </cell>
        </row>
        <row r="9">
          <cell r="D9">
            <v>13.294192708713139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Uruguay</v>
          </cell>
          <cell r="J4">
            <v>-56.204000000000001</v>
          </cell>
        </row>
        <row r="5">
          <cell r="G5" t="str">
            <v>Argentina</v>
          </cell>
          <cell r="J5">
            <v>-28.755000000000003</v>
          </cell>
        </row>
        <row r="7">
          <cell r="D7">
            <v>43923</v>
          </cell>
        </row>
        <row r="8">
          <cell r="D8">
            <v>2853.853247733321</v>
          </cell>
          <cell r="H8" t="str">
            <v>2</v>
          </cell>
        </row>
        <row r="9">
          <cell r="D9">
            <v>13.747517903589852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Ibicui</v>
          </cell>
          <cell r="J4">
            <v>-56.204000000000001</v>
          </cell>
        </row>
        <row r="5">
          <cell r="G5" t="str">
            <v>Brazil</v>
          </cell>
          <cell r="J5">
            <v>-29.384999999999998</v>
          </cell>
        </row>
        <row r="7">
          <cell r="D7">
            <v>43923</v>
          </cell>
        </row>
        <row r="8">
          <cell r="D8">
            <v>589.60905059400102</v>
          </cell>
          <cell r="H8" t="str">
            <v>2</v>
          </cell>
        </row>
        <row r="9">
          <cell r="D9">
            <v>9.6266833123510942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Ibicui</v>
          </cell>
          <cell r="J4">
            <v>-55.664000000000001</v>
          </cell>
        </row>
        <row r="5">
          <cell r="G5" t="str">
            <v>Brazil</v>
          </cell>
          <cell r="J5">
            <v>-29.564999999999998</v>
          </cell>
        </row>
        <row r="7">
          <cell r="D7">
            <v>43921</v>
          </cell>
        </row>
        <row r="8">
          <cell r="D8">
            <v>510.23859666666249</v>
          </cell>
          <cell r="H8" t="str">
            <v>2</v>
          </cell>
        </row>
        <row r="9">
          <cell r="D9">
            <v>9.7847869748735299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Ibicui</v>
          </cell>
          <cell r="J4">
            <v>-55.213999999999999</v>
          </cell>
        </row>
        <row r="5">
          <cell r="G5" t="str">
            <v>Brazil</v>
          </cell>
          <cell r="J5">
            <v>-29.655000000000001</v>
          </cell>
        </row>
        <row r="7">
          <cell r="D7">
            <v>43921</v>
          </cell>
        </row>
        <row r="8">
          <cell r="D8">
            <v>371.72296601883136</v>
          </cell>
          <cell r="H8" t="str">
            <v>2</v>
          </cell>
        </row>
        <row r="9">
          <cell r="D9">
            <v>9.7547545882729061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Jacui</v>
          </cell>
          <cell r="J4">
            <v>-51.524000000000001</v>
          </cell>
        </row>
        <row r="5">
          <cell r="G5" t="str">
            <v>Brazil</v>
          </cell>
          <cell r="J5">
            <v>-29.924999999999997</v>
          </cell>
        </row>
        <row r="7">
          <cell r="D7">
            <v>43922</v>
          </cell>
        </row>
        <row r="8">
          <cell r="D8">
            <v>126.75657788023955</v>
          </cell>
          <cell r="H8" t="str">
            <v>1</v>
          </cell>
        </row>
        <row r="9">
          <cell r="D9">
            <v>0.56843230767324171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Ganges</v>
          </cell>
          <cell r="J4">
            <v>87.974999999999994</v>
          </cell>
        </row>
        <row r="5">
          <cell r="G5" t="str">
            <v>India</v>
          </cell>
          <cell r="J5">
            <v>24.973999999999997</v>
          </cell>
        </row>
        <row r="7">
          <cell r="D7">
            <v>43923</v>
          </cell>
        </row>
        <row r="8">
          <cell r="D8">
            <v>16113.774358677792</v>
          </cell>
          <cell r="H8" t="str">
            <v>2</v>
          </cell>
        </row>
        <row r="9">
          <cell r="D9">
            <v>10.455183348414645</v>
          </cell>
          <cell r="H9">
            <v>1.6761873243569216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Jacui</v>
          </cell>
          <cell r="J4">
            <v>-52.963999999999999</v>
          </cell>
        </row>
        <row r="5">
          <cell r="G5" t="str">
            <v>Brazil</v>
          </cell>
          <cell r="J5">
            <v>-30.015000000000001</v>
          </cell>
        </row>
        <row r="7">
          <cell r="D7">
            <v>43922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Jacui</v>
          </cell>
          <cell r="J4">
            <v>-53.054000000000002</v>
          </cell>
        </row>
        <row r="5">
          <cell r="G5" t="str">
            <v>Brazil</v>
          </cell>
          <cell r="J5">
            <v>-29.924999999999997</v>
          </cell>
        </row>
        <row r="7">
          <cell r="D7">
            <v>43922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Tebicuary</v>
          </cell>
          <cell r="J4">
            <v>-57.734000000000002</v>
          </cell>
        </row>
        <row r="5">
          <cell r="G5" t="str">
            <v>Paraguay</v>
          </cell>
          <cell r="J5">
            <v>-26.414999999999999</v>
          </cell>
        </row>
        <row r="7">
          <cell r="D7">
            <v>43923</v>
          </cell>
        </row>
        <row r="8">
          <cell r="D8">
            <v>221.47309748000043</v>
          </cell>
          <cell r="H8" t="str">
            <v>2</v>
          </cell>
        </row>
        <row r="9">
          <cell r="D9">
            <v>4.9075633331149273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Tebicuary</v>
          </cell>
          <cell r="J4">
            <v>-57.194000000000003</v>
          </cell>
        </row>
        <row r="5">
          <cell r="G5" t="str">
            <v>Paraguay</v>
          </cell>
          <cell r="J5">
            <v>-26.505000000000003</v>
          </cell>
        </row>
        <row r="7">
          <cell r="D7">
            <v>43923</v>
          </cell>
        </row>
        <row r="8">
          <cell r="D8">
            <v>0</v>
          </cell>
          <cell r="H8" t="str">
            <v>1</v>
          </cell>
        </row>
        <row r="9">
          <cell r="D9">
            <v>0.19134437330767962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Paraguay</v>
          </cell>
          <cell r="J4">
            <v>-57.283999999999999</v>
          </cell>
        </row>
        <row r="5">
          <cell r="G5" t="str">
            <v>Paraguay</v>
          </cell>
          <cell r="J5">
            <v>-24.795000000000002</v>
          </cell>
        </row>
        <row r="7">
          <cell r="D7">
            <v>43923</v>
          </cell>
        </row>
        <row r="8">
          <cell r="D8">
            <v>1123.6901713109719</v>
          </cell>
          <cell r="H8" t="str">
            <v>1</v>
          </cell>
        </row>
        <row r="9">
          <cell r="D9">
            <v>0.86248155970216056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Paraguay</v>
          </cell>
          <cell r="J4">
            <v>-58.454000000000001</v>
          </cell>
        </row>
        <row r="5">
          <cell r="G5" t="str">
            <v>Paraguay</v>
          </cell>
          <cell r="J5">
            <v>-26.954999999999998</v>
          </cell>
        </row>
        <row r="7">
          <cell r="D7">
            <v>43923</v>
          </cell>
        </row>
        <row r="8">
          <cell r="D8">
            <v>5700.945235003368</v>
          </cell>
          <cell r="H8" t="str">
            <v>2</v>
          </cell>
        </row>
        <row r="9">
          <cell r="D9">
            <v>3.200448250232347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Paraguay</v>
          </cell>
          <cell r="J4">
            <v>-57.554000000000002</v>
          </cell>
        </row>
        <row r="5">
          <cell r="G5" t="str">
            <v>Brazil</v>
          </cell>
          <cell r="J5">
            <v>-19.664999999999999</v>
          </cell>
        </row>
        <row r="7">
          <cell r="D7">
            <v>43923</v>
          </cell>
        </row>
        <row r="8">
          <cell r="D8">
            <v>1097.6834108411153</v>
          </cell>
          <cell r="H8" t="str">
            <v>1</v>
          </cell>
        </row>
        <row r="9">
          <cell r="D9">
            <v>1.8443050084846133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Paraguay</v>
          </cell>
          <cell r="J4">
            <v>-57.283999999999999</v>
          </cell>
        </row>
        <row r="5">
          <cell r="G5" t="str">
            <v>Brazil</v>
          </cell>
          <cell r="J5">
            <v>-19.305</v>
          </cell>
        </row>
        <row r="7">
          <cell r="D7">
            <v>43923</v>
          </cell>
        </row>
        <row r="8">
          <cell r="D8">
            <v>386.39940312942429</v>
          </cell>
          <cell r="H8" t="str">
            <v>2</v>
          </cell>
        </row>
        <row r="9">
          <cell r="D9">
            <v>3.2923402391953918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Paraguay</v>
          </cell>
        </row>
        <row r="5">
          <cell r="G5" t="str">
            <v>Brazil</v>
          </cell>
        </row>
        <row r="7">
          <cell r="D7">
            <v>43923</v>
          </cell>
        </row>
        <row r="8">
          <cell r="H8" t="str">
            <v>1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Paraguay</v>
          </cell>
          <cell r="J4">
            <v>-57.373999999999995</v>
          </cell>
        </row>
        <row r="5">
          <cell r="G5" t="str">
            <v>Brazil</v>
          </cell>
          <cell r="J5">
            <v>-18.405000000000001</v>
          </cell>
        </row>
        <row r="7">
          <cell r="D7">
            <v>43923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SaptKosi</v>
          </cell>
          <cell r="J4">
            <v>86.444999999999993</v>
          </cell>
        </row>
        <row r="5">
          <cell r="G5" t="str">
            <v>India</v>
          </cell>
          <cell r="J5">
            <v>25.963999999999999</v>
          </cell>
        </row>
        <row r="7">
          <cell r="D7">
            <v>43923</v>
          </cell>
        </row>
        <row r="8">
          <cell r="D8">
            <v>1033.5821826315541</v>
          </cell>
          <cell r="H8" t="str">
            <v>2</v>
          </cell>
        </row>
        <row r="9">
          <cell r="D9">
            <v>10.008977487562987</v>
          </cell>
          <cell r="H9">
            <v>1.4110305813698454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Coleville</v>
          </cell>
          <cell r="J4">
            <v>-153.13400000000001</v>
          </cell>
        </row>
        <row r="5">
          <cell r="G5" t="str">
            <v>USA</v>
          </cell>
          <cell r="J5">
            <v>69.164000000000001</v>
          </cell>
        </row>
        <row r="7">
          <cell r="D7">
            <v>43923</v>
          </cell>
        </row>
        <row r="8">
          <cell r="D8">
            <v>0</v>
          </cell>
          <cell r="H8" t="str">
            <v>1</v>
          </cell>
        </row>
        <row r="9">
          <cell r="D9">
            <v>0.21950216519835958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Sagavanirktok</v>
          </cell>
          <cell r="J4">
            <v>-148.72399999999999</v>
          </cell>
        </row>
        <row r="5">
          <cell r="G5" t="str">
            <v>USA</v>
          </cell>
          <cell r="J5">
            <v>69.974000000000004</v>
          </cell>
        </row>
        <row r="7">
          <cell r="D7">
            <v>43279</v>
          </cell>
        </row>
        <row r="8">
          <cell r="D8">
            <v>56.095515235890851</v>
          </cell>
          <cell r="H8" t="str">
            <v>2</v>
          </cell>
        </row>
        <row r="9">
          <cell r="D9">
            <v>3.1072948492734156</v>
          </cell>
          <cell r="H9">
            <v>2.0418296894721912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Sabinas Reservoir</v>
          </cell>
          <cell r="J4">
            <v>-100.664</v>
          </cell>
        </row>
        <row r="5">
          <cell r="G5" t="str">
            <v>Mexico</v>
          </cell>
          <cell r="J5">
            <v>27.494</v>
          </cell>
        </row>
        <row r="7">
          <cell r="D7">
            <v>43922</v>
          </cell>
        </row>
        <row r="8">
          <cell r="D8">
            <v>0.90551274523116887</v>
          </cell>
          <cell r="H8" t="str">
            <v>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Grijalva</v>
          </cell>
          <cell r="J4">
            <v>-92.924000000000007</v>
          </cell>
        </row>
        <row r="5">
          <cell r="G5" t="str">
            <v>Mexico</v>
          </cell>
          <cell r="J5">
            <v>18.043999999999997</v>
          </cell>
        </row>
        <row r="7">
          <cell r="D7">
            <v>43922</v>
          </cell>
        </row>
        <row r="8">
          <cell r="D8">
            <v>280.77058577997713</v>
          </cell>
          <cell r="H8" t="str">
            <v>2</v>
          </cell>
        </row>
        <row r="9">
          <cell r="D9">
            <v>28.967984632709211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Naranjo</v>
          </cell>
          <cell r="J4">
            <v>-92.024000000000001</v>
          </cell>
        </row>
        <row r="5">
          <cell r="G5" t="str">
            <v>Guatemala</v>
          </cell>
          <cell r="J5">
            <v>14.714</v>
          </cell>
        </row>
        <row r="7">
          <cell r="D7">
            <v>43923</v>
          </cell>
        </row>
        <row r="8">
          <cell r="D8">
            <v>53.311826437116721</v>
          </cell>
          <cell r="H8" t="str">
            <v>2</v>
          </cell>
        </row>
        <row r="9">
          <cell r="D9">
            <v>17.097687951221172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Arauca</v>
          </cell>
          <cell r="J4">
            <v>-69.433999999999997</v>
          </cell>
        </row>
        <row r="5">
          <cell r="G5" t="str">
            <v>Venezuela</v>
          </cell>
          <cell r="J5">
            <v>7.0640000000000001</v>
          </cell>
        </row>
        <row r="7">
          <cell r="D7">
            <v>43923</v>
          </cell>
        </row>
        <row r="8">
          <cell r="H8" t="str">
            <v>1</v>
          </cell>
        </row>
        <row r="9">
          <cell r="D9">
            <v>4.5382395870525727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Orinoco</v>
          </cell>
          <cell r="J4">
            <v>-67.093999999999994</v>
          </cell>
        </row>
        <row r="5">
          <cell r="G5" t="str">
            <v>Venezuela</v>
          </cell>
          <cell r="J5">
            <v>6.6139999999999999</v>
          </cell>
        </row>
        <row r="7">
          <cell r="D7">
            <v>43923</v>
          </cell>
        </row>
        <row r="8">
          <cell r="D8">
            <v>1747.7721231123178</v>
          </cell>
          <cell r="H8" t="str">
            <v>1</v>
          </cell>
        </row>
        <row r="9">
          <cell r="D9">
            <v>2.7196998630944442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Guviare</v>
          </cell>
          <cell r="J4">
            <v>-72.224000000000004</v>
          </cell>
        </row>
        <row r="5">
          <cell r="G5" t="str">
            <v>Colombia</v>
          </cell>
          <cell r="J5">
            <v>2.8340000000000001</v>
          </cell>
        </row>
        <row r="7">
          <cell r="D7">
            <v>43923</v>
          </cell>
        </row>
        <row r="8">
          <cell r="D8">
            <v>560.00757410537835</v>
          </cell>
          <cell r="H8" t="str">
            <v>1</v>
          </cell>
        </row>
        <row r="9">
          <cell r="D9">
            <v>10.303786462810971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Meta</v>
          </cell>
          <cell r="J4">
            <v>-70.334000000000003</v>
          </cell>
        </row>
        <row r="5">
          <cell r="G5" t="str">
            <v>Colombia</v>
          </cell>
          <cell r="J5">
            <v>5.5339999999999998</v>
          </cell>
        </row>
        <row r="7">
          <cell r="D7">
            <v>43923</v>
          </cell>
        </row>
        <row r="8">
          <cell r="D8">
            <v>16.911060736324544</v>
          </cell>
          <cell r="H8" t="str">
            <v>1</v>
          </cell>
        </row>
        <row r="9">
          <cell r="D9">
            <v>5.8668793576188996E-2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Napo</v>
          </cell>
          <cell r="J4">
            <v>-75.013999999999996</v>
          </cell>
        </row>
        <row r="5">
          <cell r="G5" t="str">
            <v>Peru</v>
          </cell>
          <cell r="J5">
            <v>-1.125</v>
          </cell>
        </row>
        <row r="7">
          <cell r="D7">
            <v>43923</v>
          </cell>
        </row>
        <row r="8">
          <cell r="D8">
            <v>4656.6553364953816</v>
          </cell>
          <cell r="H8" t="str">
            <v>3</v>
          </cell>
        </row>
        <row r="9">
          <cell r="D9">
            <v>65.209957067782199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Shire</v>
          </cell>
          <cell r="J4">
            <v>35.144999999999996</v>
          </cell>
        </row>
        <row r="5">
          <cell r="G5" t="str">
            <v>Malawi</v>
          </cell>
          <cell r="J5">
            <v>-16.515000000000001</v>
          </cell>
        </row>
        <row r="7">
          <cell r="D7">
            <v>43923</v>
          </cell>
        </row>
        <row r="8">
          <cell r="D8">
            <v>843.44984233875925</v>
          </cell>
          <cell r="H8" t="str">
            <v>1</v>
          </cell>
        </row>
        <row r="9">
          <cell r="D9">
            <v>5.8564318896978227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Jurua</v>
          </cell>
          <cell r="J4">
            <v>-68.174000000000007</v>
          </cell>
        </row>
        <row r="5">
          <cell r="G5" t="str">
            <v>Brazil</v>
          </cell>
          <cell r="J5">
            <v>-6.2549999999999999</v>
          </cell>
        </row>
        <row r="7">
          <cell r="D7">
            <v>43921</v>
          </cell>
        </row>
        <row r="8">
          <cell r="D8">
            <v>4022.0894228881052</v>
          </cell>
          <cell r="H8" t="str">
            <v>1</v>
          </cell>
        </row>
        <row r="9">
          <cell r="D9">
            <v>15.033084073739511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Maranon</v>
          </cell>
          <cell r="J4">
            <v>-74.834000000000003</v>
          </cell>
        </row>
        <row r="5">
          <cell r="G5" t="str">
            <v>Peru</v>
          </cell>
          <cell r="J5">
            <v>-4.6349999999999998</v>
          </cell>
        </row>
        <row r="7">
          <cell r="D7">
            <v>43923</v>
          </cell>
        </row>
        <row r="8">
          <cell r="D8">
            <v>10341.016059437128</v>
          </cell>
          <cell r="H8" t="str">
            <v>2</v>
          </cell>
        </row>
        <row r="9">
          <cell r="D9">
            <v>23.533226653231601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Ucayali</v>
          </cell>
          <cell r="J4">
            <v>-74.474000000000004</v>
          </cell>
        </row>
        <row r="5">
          <cell r="G5" t="str">
            <v>Peru</v>
          </cell>
          <cell r="J5">
            <v>-8.3249999999999993</v>
          </cell>
        </row>
        <row r="7">
          <cell r="D7">
            <v>43923</v>
          </cell>
        </row>
        <row r="8">
          <cell r="D8">
            <v>12867.398866477566</v>
          </cell>
          <cell r="H8" t="str">
            <v>3</v>
          </cell>
        </row>
        <row r="9">
          <cell r="D9">
            <v>26.222444043013525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Ucayali</v>
          </cell>
          <cell r="J4">
            <v>-74.384</v>
          </cell>
        </row>
        <row r="5">
          <cell r="G5" t="str">
            <v>Peru</v>
          </cell>
          <cell r="J5">
            <v>-8.5950000000000006</v>
          </cell>
        </row>
        <row r="7">
          <cell r="D7">
            <v>43923</v>
          </cell>
        </row>
        <row r="8">
          <cell r="D8">
            <v>7128.0045668667144</v>
          </cell>
          <cell r="H8" t="str">
            <v>2</v>
          </cell>
        </row>
        <row r="9">
          <cell r="D9">
            <v>16.892952599963003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Ucayali</v>
          </cell>
          <cell r="J4">
            <v>-74.114000000000004</v>
          </cell>
        </row>
        <row r="5">
          <cell r="G5" t="str">
            <v>Peru</v>
          </cell>
          <cell r="J5">
            <v>-5.1749999999999998</v>
          </cell>
        </row>
        <row r="7">
          <cell r="D7">
            <v>43923</v>
          </cell>
        </row>
        <row r="8">
          <cell r="D8">
            <v>11253.003560859837</v>
          </cell>
          <cell r="H8" t="str">
            <v>2</v>
          </cell>
        </row>
        <row r="9">
          <cell r="D9">
            <v>24.855050392130714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Madeira</v>
          </cell>
          <cell r="J4">
            <v>-62.954000000000001</v>
          </cell>
        </row>
        <row r="5">
          <cell r="G5" t="str">
            <v>Brazil</v>
          </cell>
          <cell r="J5">
            <v>-7.6050000000000004</v>
          </cell>
        </row>
        <row r="7">
          <cell r="D7">
            <v>43922</v>
          </cell>
        </row>
        <row r="8">
          <cell r="D8">
            <v>31344.591670984839</v>
          </cell>
          <cell r="H8" t="str">
            <v>2</v>
          </cell>
        </row>
        <row r="9">
          <cell r="D9">
            <v>16.515305245759553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Purus</v>
          </cell>
          <cell r="J4">
            <v>-61.783999999999999</v>
          </cell>
        </row>
        <row r="5">
          <cell r="G5" t="str">
            <v>Brazil</v>
          </cell>
          <cell r="J5">
            <v>-4.2750000000000004</v>
          </cell>
        </row>
        <row r="7">
          <cell r="D7">
            <v>43922</v>
          </cell>
        </row>
        <row r="8">
          <cell r="D8">
            <v>16550.288279361812</v>
          </cell>
          <cell r="H8" t="str">
            <v>2</v>
          </cell>
        </row>
        <row r="9">
          <cell r="D9">
            <v>32.733781778594732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Purus</v>
          </cell>
          <cell r="J4">
            <v>-64.843999999999994</v>
          </cell>
        </row>
        <row r="5">
          <cell r="G5" t="str">
            <v>Brazil</v>
          </cell>
          <cell r="J5">
            <v>-7.2449999999999992</v>
          </cell>
        </row>
        <row r="7">
          <cell r="D7">
            <v>43921</v>
          </cell>
        </row>
        <row r="8">
          <cell r="D8">
            <v>2425.6306729389689</v>
          </cell>
          <cell r="H8" t="str">
            <v>2</v>
          </cell>
        </row>
        <row r="9">
          <cell r="D9">
            <v>36.501251073151373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Ucayali</v>
          </cell>
          <cell r="J4">
            <v>-74.024000000000001</v>
          </cell>
        </row>
        <row r="5">
          <cell r="G5" t="str">
            <v>Peru</v>
          </cell>
          <cell r="J5">
            <v>-10.215</v>
          </cell>
        </row>
        <row r="7">
          <cell r="D7">
            <v>43923</v>
          </cell>
        </row>
        <row r="8">
          <cell r="D8">
            <v>3298.7420134728009</v>
          </cell>
          <cell r="H8" t="str">
            <v>2</v>
          </cell>
        </row>
        <row r="9">
          <cell r="D9">
            <v>8.8444300302442631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Madeira</v>
          </cell>
          <cell r="J4">
            <v>-59.084000000000003</v>
          </cell>
        </row>
        <row r="5">
          <cell r="G5" t="str">
            <v>Brazil</v>
          </cell>
          <cell r="J5">
            <v>-3.8250000000000002</v>
          </cell>
        </row>
        <row r="7">
          <cell r="D7">
            <v>43922</v>
          </cell>
        </row>
        <row r="8">
          <cell r="D8">
            <v>29803.583613143866</v>
          </cell>
          <cell r="H8" t="str">
            <v>2</v>
          </cell>
        </row>
        <row r="9">
          <cell r="D9">
            <v>15.312520509264424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9">
          <cell r="H9">
            <v>0</v>
          </cell>
        </row>
      </sheetData>
      <sheetData sheetId="2"/>
      <sheetData sheetId="3"/>
      <sheetData sheetId="4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Araguaia</v>
          </cell>
          <cell r="J4">
            <v>-50.713999999999999</v>
          </cell>
        </row>
        <row r="5">
          <cell r="G5" t="str">
            <v>Brazil</v>
          </cell>
          <cell r="J5">
            <v>-11.744999999999999</v>
          </cell>
        </row>
        <row r="7">
          <cell r="D7">
            <v>43923</v>
          </cell>
        </row>
        <row r="8">
          <cell r="D8">
            <v>7715.4249603704029</v>
          </cell>
          <cell r="H8" t="str">
            <v>3</v>
          </cell>
        </row>
        <row r="9">
          <cell r="D9">
            <v>23.973317356249495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Araguaia</v>
          </cell>
          <cell r="J4">
            <v>-49.454000000000001</v>
          </cell>
        </row>
        <row r="5">
          <cell r="G5" t="str">
            <v>Brazil</v>
          </cell>
          <cell r="J5">
            <v>-8.6850000000000005</v>
          </cell>
        </row>
        <row r="7">
          <cell r="D7">
            <v>43923</v>
          </cell>
        </row>
        <row r="8">
          <cell r="D8">
            <v>20295.595575982752</v>
          </cell>
          <cell r="H8" t="str">
            <v>4</v>
          </cell>
        </row>
        <row r="9">
          <cell r="D9">
            <v>36.75225563379351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Guapore</v>
          </cell>
          <cell r="J4">
            <v>-64.754000000000005</v>
          </cell>
        </row>
        <row r="5">
          <cell r="G5" t="str">
            <v>Bolivia</v>
          </cell>
          <cell r="J5">
            <v>-12.105</v>
          </cell>
        </row>
        <row r="7">
          <cell r="D7">
            <v>43922</v>
          </cell>
        </row>
        <row r="8">
          <cell r="D8">
            <v>4756.8953479257034</v>
          </cell>
          <cell r="H8" t="str">
            <v>2</v>
          </cell>
        </row>
        <row r="9">
          <cell r="D9">
            <v>11.735277428406617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Guapore</v>
          </cell>
          <cell r="J4">
            <v>-62.864000000000004</v>
          </cell>
        </row>
        <row r="5">
          <cell r="G5" t="str">
            <v>Bolivia</v>
          </cell>
          <cell r="J5">
            <v>-12.914999999999999</v>
          </cell>
        </row>
        <row r="7">
          <cell r="D7">
            <v>43922</v>
          </cell>
        </row>
        <row r="8">
          <cell r="D8">
            <v>1638.7621679443189</v>
          </cell>
          <cell r="H8" t="str">
            <v>1</v>
          </cell>
        </row>
        <row r="9">
          <cell r="D9">
            <v>7.7540489164269566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Mamore</v>
          </cell>
          <cell r="J4">
            <v>-64.123999999999995</v>
          </cell>
        </row>
        <row r="5">
          <cell r="G5" t="str">
            <v>Bolivia</v>
          </cell>
          <cell r="J5">
            <v>-13.275</v>
          </cell>
        </row>
        <row r="7">
          <cell r="D7">
            <v>43922</v>
          </cell>
        </row>
        <row r="8">
          <cell r="D8">
            <v>130.2034776451074</v>
          </cell>
          <cell r="H8" t="str">
            <v>2</v>
          </cell>
        </row>
        <row r="9">
          <cell r="D9">
            <v>8.0354905182048348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Mamore</v>
          </cell>
          <cell r="J4">
            <v>-64.843999999999994</v>
          </cell>
        </row>
        <row r="5">
          <cell r="G5" t="str">
            <v>Bolivia</v>
          </cell>
          <cell r="J5">
            <v>-15.435</v>
          </cell>
        </row>
        <row r="7">
          <cell r="D7">
            <v>43922</v>
          </cell>
        </row>
        <row r="8">
          <cell r="D8">
            <v>4386.30852023638</v>
          </cell>
          <cell r="H8" t="str">
            <v>2</v>
          </cell>
        </row>
        <row r="9">
          <cell r="D9">
            <v>11.029894119550685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Beni</v>
          </cell>
          <cell r="J4">
            <v>-66.373999999999995</v>
          </cell>
        </row>
        <row r="5">
          <cell r="G5" t="str">
            <v>Bolivia</v>
          </cell>
          <cell r="J5">
            <v>-11.385</v>
          </cell>
        </row>
        <row r="7">
          <cell r="D7">
            <v>43921</v>
          </cell>
        </row>
        <row r="8">
          <cell r="D8">
            <v>2643.0673472203689</v>
          </cell>
          <cell r="H8" t="str">
            <v>2</v>
          </cell>
        </row>
        <row r="9">
          <cell r="D9">
            <v>10.856792885089771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Mamore</v>
          </cell>
          <cell r="J4">
            <v>-66.194000000000003</v>
          </cell>
        </row>
        <row r="5">
          <cell r="G5" t="str">
            <v>Bolivia</v>
          </cell>
          <cell r="J5">
            <v>-13.994999999999999</v>
          </cell>
        </row>
        <row r="7">
          <cell r="D7">
            <v>43923</v>
          </cell>
        </row>
        <row r="8">
          <cell r="D8">
            <v>44.628808554439274</v>
          </cell>
          <cell r="H8" t="str">
            <v>1</v>
          </cell>
        </row>
        <row r="9">
          <cell r="D9">
            <v>3.4181251577307457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Mamore</v>
          </cell>
          <cell r="J4">
            <v>-66.103999999999999</v>
          </cell>
        </row>
        <row r="5">
          <cell r="G5" t="str">
            <v>Bolivia</v>
          </cell>
          <cell r="J5">
            <v>-13.005000000000001</v>
          </cell>
        </row>
        <row r="7">
          <cell r="D7">
            <v>43922</v>
          </cell>
        </row>
        <row r="8">
          <cell r="D8">
            <v>78.446127606402797</v>
          </cell>
          <cell r="H8" t="str">
            <v>1</v>
          </cell>
        </row>
        <row r="9">
          <cell r="D9">
            <v>10.713446840081994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Tueco</v>
          </cell>
          <cell r="J4">
            <v>-60.974000000000004</v>
          </cell>
        </row>
        <row r="5">
          <cell r="G5" t="str">
            <v>Argentina</v>
          </cell>
          <cell r="J5">
            <v>-24.975000000000001</v>
          </cell>
        </row>
        <row r="7">
          <cell r="D7">
            <v>43923</v>
          </cell>
        </row>
        <row r="8">
          <cell r="D8">
            <v>695.44816931139974</v>
          </cell>
          <cell r="H8" t="str">
            <v>2</v>
          </cell>
        </row>
        <row r="9">
          <cell r="D9">
            <v>6.688007400576879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Bramaputra</v>
          </cell>
          <cell r="J4">
            <v>89.775000000000006</v>
          </cell>
        </row>
        <row r="5">
          <cell r="G5" t="str">
            <v>Bangladesh</v>
          </cell>
          <cell r="J5">
            <v>25.514000000000003</v>
          </cell>
        </row>
        <row r="7">
          <cell r="D7">
            <v>43923</v>
          </cell>
        </row>
        <row r="8">
          <cell r="D8">
            <v>5722.289834308147</v>
          </cell>
          <cell r="H8" t="str">
            <v>2</v>
          </cell>
        </row>
        <row r="9">
          <cell r="D9">
            <v>5.6977472951138939</v>
          </cell>
          <cell r="H9">
            <v>1.2815251515522483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-3.1040000000000001</v>
          </cell>
        </row>
        <row r="5">
          <cell r="G5" t="str">
            <v>Mali</v>
          </cell>
          <cell r="J5">
            <v>16.603999999999999</v>
          </cell>
        </row>
        <row r="7">
          <cell r="D7">
            <v>43922</v>
          </cell>
        </row>
        <row r="8">
          <cell r="D8">
            <v>406.26928730064878</v>
          </cell>
          <cell r="H8" t="str">
            <v>2</v>
          </cell>
        </row>
        <row r="9">
          <cell r="D9">
            <v>0.8777459529422148</v>
          </cell>
          <cell r="H9">
            <v>1.2188440680891715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Bajo de la Tierra Colorada</v>
          </cell>
          <cell r="J4">
            <v>-66.823999999999998</v>
          </cell>
        </row>
        <row r="5">
          <cell r="G5" t="str">
            <v>Argentina</v>
          </cell>
          <cell r="J5">
            <v>-42.885000000000005</v>
          </cell>
        </row>
        <row r="7">
          <cell r="D7">
            <v>43923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Limpopo</v>
          </cell>
          <cell r="J4">
            <v>33.614999999999995</v>
          </cell>
        </row>
        <row r="5">
          <cell r="G5" t="str">
            <v>Mozambique</v>
          </cell>
          <cell r="J5">
            <v>-24.884999999999998</v>
          </cell>
        </row>
        <row r="7">
          <cell r="D7">
            <v>43923</v>
          </cell>
        </row>
        <row r="8">
          <cell r="D8">
            <v>83.65576075692104</v>
          </cell>
          <cell r="H8" t="str">
            <v>1</v>
          </cell>
        </row>
        <row r="9">
          <cell r="D9">
            <v>0.11689708641982842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Limpopo</v>
          </cell>
          <cell r="J4">
            <v>32.894999999999996</v>
          </cell>
        </row>
        <row r="5">
          <cell r="G5" t="str">
            <v>Mozambique</v>
          </cell>
          <cell r="J5">
            <v>-24.435000000000002</v>
          </cell>
        </row>
        <row r="7">
          <cell r="D7">
            <v>43923</v>
          </cell>
        </row>
        <row r="8">
          <cell r="D8">
            <v>115.35783336018716</v>
          </cell>
          <cell r="H8" t="str">
            <v>2</v>
          </cell>
        </row>
        <row r="9">
          <cell r="D9">
            <v>0.19549015814549733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Milo</v>
          </cell>
          <cell r="J4">
            <v>-9.2240000000000002</v>
          </cell>
        </row>
        <row r="5">
          <cell r="G5" t="str">
            <v>Guinea</v>
          </cell>
          <cell r="J5">
            <v>10.664</v>
          </cell>
        </row>
        <row r="7">
          <cell r="D7">
            <v>43923</v>
          </cell>
        </row>
        <row r="8">
          <cell r="D8">
            <v>187.5842228802556</v>
          </cell>
          <cell r="H8" t="str">
            <v>2</v>
          </cell>
        </row>
        <row r="9">
          <cell r="D9">
            <v>9.5523731656672126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Lufira</v>
          </cell>
          <cell r="J4">
            <v>27.405000000000001</v>
          </cell>
        </row>
        <row r="5">
          <cell r="G5" t="str">
            <v>Zaire</v>
          </cell>
          <cell r="J5">
            <v>-10.395</v>
          </cell>
        </row>
        <row r="7">
          <cell r="D7">
            <v>43923</v>
          </cell>
        </row>
        <row r="8">
          <cell r="D8">
            <v>1600.2188877297053</v>
          </cell>
          <cell r="H8" t="str">
            <v>4</v>
          </cell>
        </row>
        <row r="9">
          <cell r="D9">
            <v>45.087485502853383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Shire</v>
          </cell>
          <cell r="J4">
            <v>35.234999999999999</v>
          </cell>
        </row>
        <row r="5">
          <cell r="G5" t="str">
            <v>Malawi</v>
          </cell>
          <cell r="J5">
            <v>-14.984999999999999</v>
          </cell>
        </row>
        <row r="7">
          <cell r="D7">
            <v>43923</v>
          </cell>
        </row>
        <row r="8">
          <cell r="D8">
            <v>2035.9607655734089</v>
          </cell>
          <cell r="H8" t="str">
            <v>1</v>
          </cell>
        </row>
        <row r="9">
          <cell r="D9">
            <v>8.4091371012362686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Great Ruaha</v>
          </cell>
          <cell r="J4">
            <v>39.015000000000001</v>
          </cell>
        </row>
        <row r="5">
          <cell r="G5" t="str">
            <v>Tanzania</v>
          </cell>
          <cell r="J5">
            <v>-8.0549999999999997</v>
          </cell>
        </row>
        <row r="7">
          <cell r="D7">
            <v>43923</v>
          </cell>
        </row>
        <row r="8">
          <cell r="D8">
            <v>1590.181724905904</v>
          </cell>
          <cell r="H8" t="str">
            <v>4</v>
          </cell>
        </row>
        <row r="9">
          <cell r="D9">
            <v>951.52560044957295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Kilombero</v>
          </cell>
          <cell r="J4">
            <v>36.765000000000001</v>
          </cell>
        </row>
        <row r="5">
          <cell r="G5" t="str">
            <v>Tanzania</v>
          </cell>
          <cell r="J5">
            <v>-8.1449999999999996</v>
          </cell>
        </row>
        <row r="7">
          <cell r="D7">
            <v>43922</v>
          </cell>
        </row>
        <row r="8">
          <cell r="D8">
            <v>2085.8874431076047</v>
          </cell>
          <cell r="H8" t="str">
            <v>4</v>
          </cell>
        </row>
        <row r="9">
          <cell r="D9">
            <v>1211.6048241308845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Chambeshi</v>
          </cell>
          <cell r="J4">
            <v>32.174999999999997</v>
          </cell>
        </row>
        <row r="5">
          <cell r="G5" t="str">
            <v>Zambia</v>
          </cell>
          <cell r="J5">
            <v>-9.8550000000000004</v>
          </cell>
        </row>
        <row r="7">
          <cell r="D7">
            <v>43923</v>
          </cell>
        </row>
        <row r="8">
          <cell r="D8">
            <v>1693.9577592856544</v>
          </cell>
          <cell r="H8" t="str">
            <v>4</v>
          </cell>
        </row>
        <row r="9">
          <cell r="D9">
            <v>164.3262603410339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3.5549999999999997</v>
          </cell>
        </row>
        <row r="5">
          <cell r="G5" t="str">
            <v>Mali</v>
          </cell>
          <cell r="J5">
            <v>11.834</v>
          </cell>
        </row>
        <row r="7">
          <cell r="D7">
            <v>43923</v>
          </cell>
        </row>
        <row r="8">
          <cell r="D8">
            <v>3482.7766176322475</v>
          </cell>
          <cell r="H8" t="str">
            <v>2</v>
          </cell>
        </row>
        <row r="9">
          <cell r="D9">
            <v>1.1020936243629003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Coatzacoalcos</v>
          </cell>
          <cell r="J4">
            <v>-94.634</v>
          </cell>
        </row>
        <row r="5">
          <cell r="G5" t="str">
            <v>Mexico</v>
          </cell>
          <cell r="J5">
            <v>17.863999999999997</v>
          </cell>
        </row>
        <row r="7">
          <cell r="D7">
            <v>43922</v>
          </cell>
        </row>
        <row r="8">
          <cell r="D8">
            <v>396.63206938121391</v>
          </cell>
          <cell r="H8" t="str">
            <v>2</v>
          </cell>
        </row>
        <row r="9">
          <cell r="D9">
            <v>22.105044668019733</v>
          </cell>
          <cell r="H9">
            <v>0.82162442076540854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4.0949999999999998</v>
          </cell>
        </row>
        <row r="5">
          <cell r="G5" t="str">
            <v>Nigeria</v>
          </cell>
          <cell r="J5">
            <v>11.474</v>
          </cell>
        </row>
        <row r="7">
          <cell r="D7">
            <v>43923</v>
          </cell>
        </row>
        <row r="8">
          <cell r="D8">
            <v>1768.9413800314069</v>
          </cell>
          <cell r="H8" t="str">
            <v>2</v>
          </cell>
        </row>
        <row r="9">
          <cell r="D9">
            <v>0.66470145325198304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4.3650000000000002</v>
          </cell>
        </row>
        <row r="5">
          <cell r="G5" t="str">
            <v>Nigeria</v>
          </cell>
          <cell r="J5">
            <v>11.204000000000001</v>
          </cell>
        </row>
        <row r="7">
          <cell r="D7">
            <v>43923</v>
          </cell>
        </row>
        <row r="8">
          <cell r="D8">
            <v>1350.8390168090441</v>
          </cell>
          <cell r="H8" t="str">
            <v>2</v>
          </cell>
        </row>
        <row r="9">
          <cell r="D9">
            <v>0.4209533988214888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5.1749999999999998</v>
          </cell>
        </row>
        <row r="5">
          <cell r="G5" t="str">
            <v>Nigeria</v>
          </cell>
          <cell r="J5">
            <v>9.0440000000000005</v>
          </cell>
        </row>
        <row r="7">
          <cell r="D7">
            <v>43923</v>
          </cell>
        </row>
        <row r="8">
          <cell r="D8">
            <v>1889.2667549895123</v>
          </cell>
          <cell r="H8" t="str">
            <v>2</v>
          </cell>
        </row>
        <row r="9">
          <cell r="D9">
            <v>0.65643974188837129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6.7050000000000001</v>
          </cell>
        </row>
        <row r="5">
          <cell r="G5" t="str">
            <v>Nigeria</v>
          </cell>
          <cell r="J5">
            <v>6.2539999999999996</v>
          </cell>
        </row>
        <row r="7">
          <cell r="D7">
            <v>43922</v>
          </cell>
        </row>
        <row r="8">
          <cell r="D8">
            <v>2469.6524465400726</v>
          </cell>
          <cell r="H8" t="str">
            <v>1</v>
          </cell>
        </row>
        <row r="9">
          <cell r="D9">
            <v>0.60651970292558999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Anambra</v>
          </cell>
          <cell r="J4">
            <v>6.8849999999999998</v>
          </cell>
        </row>
        <row r="5">
          <cell r="G5" t="str">
            <v>Nigeria</v>
          </cell>
          <cell r="J5">
            <v>6.524</v>
          </cell>
        </row>
        <row r="7">
          <cell r="D7">
            <v>43922</v>
          </cell>
        </row>
        <row r="8">
          <cell r="D8">
            <v>603.05905654667004</v>
          </cell>
          <cell r="H8" t="str">
            <v>2</v>
          </cell>
        </row>
        <row r="9">
          <cell r="D9">
            <v>29.810836152637123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Benue</v>
          </cell>
          <cell r="J4">
            <v>8.8650000000000002</v>
          </cell>
        </row>
        <row r="5">
          <cell r="G5" t="str">
            <v>Nigeria</v>
          </cell>
          <cell r="J5">
            <v>7.7840000000000007</v>
          </cell>
        </row>
        <row r="7">
          <cell r="D7">
            <v>43922</v>
          </cell>
        </row>
        <row r="8">
          <cell r="D8">
            <v>4703.7010183132952</v>
          </cell>
          <cell r="H8" t="str">
            <v>2</v>
          </cell>
        </row>
        <row r="9">
          <cell r="D9">
            <v>9.4722304378144955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Omu Delta</v>
          </cell>
          <cell r="J4">
            <v>36.045000000000002</v>
          </cell>
        </row>
        <row r="5">
          <cell r="G5" t="str">
            <v>Ethiopia</v>
          </cell>
          <cell r="J5">
            <v>4.8140000000000001</v>
          </cell>
        </row>
        <row r="7">
          <cell r="D7">
            <v>43922</v>
          </cell>
        </row>
        <row r="8">
          <cell r="D8">
            <v>212.89911854432208</v>
          </cell>
          <cell r="H8" t="str">
            <v>2</v>
          </cell>
        </row>
        <row r="9">
          <cell r="D9">
            <v>3.3771739703905932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Webe Gestro</v>
          </cell>
          <cell r="J4">
            <v>42.075000000000003</v>
          </cell>
        </row>
        <row r="5">
          <cell r="G5" t="str">
            <v>Ethiopia</v>
          </cell>
          <cell r="J5">
            <v>4.7240000000000002</v>
          </cell>
        </row>
        <row r="7">
          <cell r="D7">
            <v>43922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Shabelle</v>
          </cell>
          <cell r="J4">
            <v>44.774999999999999</v>
          </cell>
        </row>
        <row r="5">
          <cell r="G5" t="str">
            <v>Ethiopia</v>
          </cell>
          <cell r="J5">
            <v>5.0839999999999996</v>
          </cell>
        </row>
        <row r="7">
          <cell r="D7">
            <v>43923</v>
          </cell>
        </row>
        <row r="8">
          <cell r="D8">
            <v>296.20451830059721</v>
          </cell>
          <cell r="H8" t="str">
            <v>2</v>
          </cell>
        </row>
        <row r="9">
          <cell r="D9">
            <v>0.89309417942156366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Shabelle</v>
          </cell>
          <cell r="J4">
            <v>44.504999999999995</v>
          </cell>
        </row>
        <row r="5">
          <cell r="G5" t="str">
            <v>Ethiopia</v>
          </cell>
          <cell r="J5">
            <v>5.444</v>
          </cell>
        </row>
        <row r="7">
          <cell r="D7">
            <v>43923</v>
          </cell>
        </row>
        <row r="8">
          <cell r="D8">
            <v>328.44169882713163</v>
          </cell>
          <cell r="H8" t="str">
            <v>2</v>
          </cell>
        </row>
        <row r="9">
          <cell r="D9">
            <v>1.1260140842581889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Usumacinta</v>
          </cell>
          <cell r="J4">
            <v>-91.573999999999998</v>
          </cell>
        </row>
        <row r="5">
          <cell r="G5" t="str">
            <v>Mexico</v>
          </cell>
          <cell r="J5">
            <v>17.774000000000001</v>
          </cell>
        </row>
        <row r="7">
          <cell r="D7">
            <v>43923</v>
          </cell>
        </row>
        <row r="8">
          <cell r="D8">
            <v>1029.7991457741118</v>
          </cell>
          <cell r="H8" t="str">
            <v>1</v>
          </cell>
        </row>
        <row r="9">
          <cell r="D9">
            <v>14.558212382659107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Shabelle</v>
          </cell>
          <cell r="J4">
            <v>44.144999999999996</v>
          </cell>
        </row>
        <row r="5">
          <cell r="G5" t="str">
            <v>Ethiopia</v>
          </cell>
          <cell r="J5">
            <v>5.6239999999999997</v>
          </cell>
        </row>
        <row r="7">
          <cell r="D7">
            <v>43923</v>
          </cell>
        </row>
        <row r="8">
          <cell r="D8">
            <v>236.27199377401192</v>
          </cell>
          <cell r="H8" t="str">
            <v>2</v>
          </cell>
        </row>
        <row r="9">
          <cell r="D9">
            <v>0.97795409240863773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Shabelle</v>
          </cell>
          <cell r="J4">
            <v>43.064999999999998</v>
          </cell>
        </row>
        <row r="5">
          <cell r="G5" t="str">
            <v>Ethiopia</v>
          </cell>
          <cell r="J5">
            <v>6.0739999999999998</v>
          </cell>
        </row>
        <row r="7">
          <cell r="D7">
            <v>43923</v>
          </cell>
        </row>
        <row r="8">
          <cell r="D8">
            <v>160.97057874058439</v>
          </cell>
          <cell r="H8" t="str">
            <v>1</v>
          </cell>
        </row>
        <row r="9">
          <cell r="D9">
            <v>0.89489965431468743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Shabelle</v>
          </cell>
          <cell r="J4">
            <v>45.405000000000001</v>
          </cell>
        </row>
        <row r="5">
          <cell r="G5" t="str">
            <v>Somalia</v>
          </cell>
          <cell r="J5">
            <v>2.8340000000000001</v>
          </cell>
        </row>
        <row r="7">
          <cell r="D7">
            <v>43923</v>
          </cell>
        </row>
        <row r="8">
          <cell r="D8">
            <v>425.97527187277962</v>
          </cell>
          <cell r="H8" t="str">
            <v>2</v>
          </cell>
        </row>
        <row r="9">
          <cell r="D9">
            <v>0.77827520943372408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Nile</v>
          </cell>
          <cell r="J4">
            <v>32.805</v>
          </cell>
        </row>
        <row r="5">
          <cell r="G5" t="str">
            <v>Sudan</v>
          </cell>
          <cell r="J5">
            <v>12.374000000000001</v>
          </cell>
        </row>
        <row r="7">
          <cell r="D7">
            <v>43922</v>
          </cell>
        </row>
        <row r="8">
          <cell r="D8">
            <v>4923.1510855555534</v>
          </cell>
          <cell r="H8" t="str">
            <v>1</v>
          </cell>
        </row>
        <row r="9">
          <cell r="D9">
            <v>2.0931968229987303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Nile</v>
          </cell>
          <cell r="J4">
            <v>32.445</v>
          </cell>
        </row>
        <row r="5">
          <cell r="G5" t="str">
            <v>Sudan</v>
          </cell>
          <cell r="J5">
            <v>13.814</v>
          </cell>
        </row>
        <row r="7">
          <cell r="D7">
            <v>43922</v>
          </cell>
        </row>
        <row r="8">
          <cell r="D8">
            <v>4603.3662205337314</v>
          </cell>
          <cell r="H8" t="str">
            <v>1</v>
          </cell>
        </row>
        <row r="9">
          <cell r="D9">
            <v>1.6177959842843637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Nile</v>
          </cell>
          <cell r="J4">
            <v>32.265000000000001</v>
          </cell>
        </row>
        <row r="5">
          <cell r="G5" t="str">
            <v>Sudan</v>
          </cell>
          <cell r="J5">
            <v>14.804</v>
          </cell>
        </row>
        <row r="7">
          <cell r="D7">
            <v>43923</v>
          </cell>
        </row>
        <row r="8">
          <cell r="D8">
            <v>10263.728507759995</v>
          </cell>
          <cell r="H8" t="str">
            <v>2</v>
          </cell>
        </row>
        <row r="9">
          <cell r="D9">
            <v>3.6992391658920099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9">
          <cell r="H9">
            <v>1.2481166711136273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Blue Nile</v>
          </cell>
          <cell r="J4">
            <v>33.975000000000001</v>
          </cell>
        </row>
        <row r="5">
          <cell r="G5" t="str">
            <v>Sudan</v>
          </cell>
          <cell r="J5">
            <v>13.093999999999999</v>
          </cell>
        </row>
        <row r="7">
          <cell r="D7">
            <v>43922</v>
          </cell>
        </row>
        <row r="8">
          <cell r="D8">
            <v>1064.6107609744067</v>
          </cell>
          <cell r="H8" t="str">
            <v>2</v>
          </cell>
        </row>
        <row r="9">
          <cell r="D9">
            <v>2.9214239906647976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Blue Nile</v>
          </cell>
          <cell r="J4">
            <v>33.614999999999995</v>
          </cell>
        </row>
        <row r="5">
          <cell r="G5" t="str">
            <v>Sudan</v>
          </cell>
          <cell r="J5">
            <v>13.724</v>
          </cell>
        </row>
        <row r="7">
          <cell r="D7">
            <v>43922</v>
          </cell>
        </row>
        <row r="8">
          <cell r="D8">
            <v>3279.0839877150138</v>
          </cell>
          <cell r="H8" t="str">
            <v>2</v>
          </cell>
        </row>
        <row r="9">
          <cell r="D9">
            <v>10.842907461438367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Nile</v>
          </cell>
          <cell r="J4">
            <v>32.445</v>
          </cell>
        </row>
        <row r="5">
          <cell r="G5" t="str">
            <v>Sudan</v>
          </cell>
          <cell r="J5">
            <v>15.523999999999999</v>
          </cell>
        </row>
        <row r="7">
          <cell r="D7">
            <v>43923</v>
          </cell>
        </row>
        <row r="8">
          <cell r="D8">
            <v>5996.674627611239</v>
          </cell>
          <cell r="H8" t="str">
            <v>2</v>
          </cell>
        </row>
        <row r="9">
          <cell r="D9">
            <v>1.9985497082550674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9">
          <cell r="H9">
            <v>0.88147908996282487</v>
          </cell>
        </row>
      </sheetData>
      <sheetData sheetId="2"/>
      <sheetData sheetId="3"/>
      <sheetData sheetId="4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Nile</v>
          </cell>
          <cell r="J4">
            <v>32.894999999999996</v>
          </cell>
        </row>
        <row r="5">
          <cell r="G5" t="str">
            <v>Sudan</v>
          </cell>
          <cell r="J5">
            <v>16.513999999999999</v>
          </cell>
        </row>
        <row r="7">
          <cell r="D7">
            <v>43923</v>
          </cell>
        </row>
        <row r="8">
          <cell r="D8">
            <v>10033.42412900974</v>
          </cell>
          <cell r="H8" t="str">
            <v>2</v>
          </cell>
        </row>
        <row r="9">
          <cell r="D9">
            <v>2.787306274052713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Mahavavy</v>
          </cell>
          <cell r="J4">
            <v>49.004999999999995</v>
          </cell>
        </row>
        <row r="5">
          <cell r="G5" t="str">
            <v>Madagascar</v>
          </cell>
          <cell r="J5">
            <v>-13.185</v>
          </cell>
        </row>
        <row r="7">
          <cell r="D7">
            <v>43922</v>
          </cell>
        </row>
        <row r="8">
          <cell r="D8">
            <v>80.833188138155208</v>
          </cell>
          <cell r="H8" t="str">
            <v>1</v>
          </cell>
        </row>
        <row r="9">
          <cell r="D9">
            <v>15.124755027806758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Ishim</v>
          </cell>
          <cell r="J4">
            <v>66.734999999999999</v>
          </cell>
        </row>
        <row r="5">
          <cell r="G5" t="str">
            <v>Kazakhstan</v>
          </cell>
          <cell r="J5">
            <v>51.164000000000001</v>
          </cell>
        </row>
        <row r="7">
          <cell r="D7">
            <v>43923</v>
          </cell>
        </row>
        <row r="8">
          <cell r="D8">
            <v>11.414306624921162</v>
          </cell>
          <cell r="H8" t="str">
            <v>1</v>
          </cell>
        </row>
        <row r="9">
          <cell r="D9">
            <v>7.4817605263388154E-2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Bramaputra</v>
          </cell>
          <cell r="J4">
            <v>92.025000000000006</v>
          </cell>
        </row>
        <row r="5">
          <cell r="G5" t="str">
            <v>India</v>
          </cell>
          <cell r="J5">
            <v>26.323999999999998</v>
          </cell>
        </row>
        <row r="7">
          <cell r="D7">
            <v>43922</v>
          </cell>
        </row>
        <row r="8">
          <cell r="D8">
            <v>9505.1907137062226</v>
          </cell>
          <cell r="H8" t="str">
            <v>2</v>
          </cell>
        </row>
        <row r="9">
          <cell r="D9">
            <v>17.671043284926146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Bramaputra</v>
          </cell>
          <cell r="J4">
            <v>94.545000000000002</v>
          </cell>
        </row>
        <row r="5">
          <cell r="G5" t="str">
            <v>India</v>
          </cell>
          <cell r="J5">
            <v>27.134</v>
          </cell>
        </row>
        <row r="7">
          <cell r="D7">
            <v>43922</v>
          </cell>
        </row>
        <row r="8">
          <cell r="D8">
            <v>2378.9325423742994</v>
          </cell>
          <cell r="H8" t="str">
            <v>1</v>
          </cell>
        </row>
        <row r="9">
          <cell r="D9">
            <v>4.3074999247974279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Bramaputra</v>
          </cell>
          <cell r="J4">
            <v>95.534999999999997</v>
          </cell>
        </row>
        <row r="5">
          <cell r="G5" t="str">
            <v>India</v>
          </cell>
          <cell r="J5">
            <v>27.764000000000003</v>
          </cell>
        </row>
        <row r="7">
          <cell r="D7">
            <v>43922</v>
          </cell>
        </row>
        <row r="8">
          <cell r="D8">
            <v>6432.8188040656969</v>
          </cell>
          <cell r="H8" t="str">
            <v>2</v>
          </cell>
        </row>
        <row r="9">
          <cell r="D9" t="e">
            <v>#N/A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Irrawaddy</v>
          </cell>
          <cell r="J4">
            <v>97.245000000000005</v>
          </cell>
        </row>
        <row r="5">
          <cell r="G5" t="str">
            <v>Myanmar</v>
          </cell>
          <cell r="J5">
            <v>25.064</v>
          </cell>
        </row>
        <row r="7">
          <cell r="D7">
            <v>43922</v>
          </cell>
        </row>
        <row r="8">
          <cell r="D8">
            <v>12472.742567636731</v>
          </cell>
          <cell r="H8" t="str">
            <v>1</v>
          </cell>
        </row>
        <row r="9">
          <cell r="D9">
            <v>1585.9520078344033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Reno</v>
          </cell>
          <cell r="J4">
            <v>11.835000000000001</v>
          </cell>
        </row>
        <row r="5">
          <cell r="G5" t="str">
            <v>Italy</v>
          </cell>
          <cell r="J5">
            <v>44.594000000000001</v>
          </cell>
        </row>
        <row r="7">
          <cell r="D7">
            <v>43922</v>
          </cell>
        </row>
        <row r="8">
          <cell r="D8">
            <v>13.440908448038016</v>
          </cell>
          <cell r="H8" t="str">
            <v>1</v>
          </cell>
        </row>
        <row r="9">
          <cell r="D9">
            <v>2.1573958866292777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Euphrates</v>
          </cell>
          <cell r="J4">
            <v>40.814999999999998</v>
          </cell>
        </row>
        <row r="5">
          <cell r="G5" t="str">
            <v>Syria</v>
          </cell>
          <cell r="J5">
            <v>34.694000000000003</v>
          </cell>
        </row>
        <row r="7">
          <cell r="D7">
            <v>43923</v>
          </cell>
        </row>
        <row r="8">
          <cell r="D8">
            <v>448.28946140832636</v>
          </cell>
          <cell r="H8" t="str">
            <v>2</v>
          </cell>
        </row>
        <row r="9">
          <cell r="D9">
            <v>1.6967128220379619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70.605000000000004</v>
          </cell>
        </row>
        <row r="5">
          <cell r="G5" t="str">
            <v>Pakistan</v>
          </cell>
          <cell r="J5">
            <v>29.024000000000001</v>
          </cell>
        </row>
        <row r="7">
          <cell r="D7">
            <v>43922</v>
          </cell>
        </row>
        <row r="8">
          <cell r="D8">
            <v>2733.2576904070916</v>
          </cell>
          <cell r="H8" t="str">
            <v>1</v>
          </cell>
        </row>
        <row r="9">
          <cell r="D9">
            <v>2.9156608962971489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24.615000000000002</v>
          </cell>
        </row>
        <row r="5">
          <cell r="G5" t="str">
            <v>Namibia</v>
          </cell>
          <cell r="J5">
            <v>-17.505000000000003</v>
          </cell>
        </row>
        <row r="7">
          <cell r="D7">
            <v>43923</v>
          </cell>
        </row>
        <row r="8">
          <cell r="D8">
            <v>21619.587336745273</v>
          </cell>
          <cell r="H8" t="str">
            <v>3</v>
          </cell>
        </row>
        <row r="9">
          <cell r="D9">
            <v>37.941971524903202</v>
          </cell>
          <cell r="H9">
            <v>2.2688495168756928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</v>
          </cell>
          <cell r="J4">
            <v>68.265000000000001</v>
          </cell>
        </row>
        <row r="5">
          <cell r="G5" t="str">
            <v>Pakistan</v>
          </cell>
          <cell r="J5">
            <v>25.874000000000002</v>
          </cell>
        </row>
        <row r="7">
          <cell r="D7">
            <v>43922</v>
          </cell>
        </row>
        <row r="8">
          <cell r="D8">
            <v>3139.8479142467254</v>
          </cell>
          <cell r="H8" t="str">
            <v>2</v>
          </cell>
        </row>
        <row r="9">
          <cell r="D9">
            <v>2.3567938610827901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Indus Delta</v>
          </cell>
          <cell r="J4">
            <v>67.814999999999998</v>
          </cell>
        </row>
        <row r="5">
          <cell r="G5" t="str">
            <v>Pakistan</v>
          </cell>
          <cell r="J5">
            <v>24.253999999999998</v>
          </cell>
        </row>
        <row r="7">
          <cell r="D7">
            <v>43923</v>
          </cell>
        </row>
        <row r="8">
          <cell r="D8">
            <v>2656.1274248456139</v>
          </cell>
          <cell r="H8" t="str">
            <v>1</v>
          </cell>
        </row>
        <row r="9">
          <cell r="D9">
            <v>2.3162054313148062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Wainganga</v>
          </cell>
          <cell r="J4">
            <v>80.055000000000007</v>
          </cell>
        </row>
        <row r="5">
          <cell r="G5" t="str">
            <v>India</v>
          </cell>
          <cell r="J5">
            <v>18.764000000000003</v>
          </cell>
        </row>
        <row r="7">
          <cell r="D7">
            <v>43923</v>
          </cell>
        </row>
        <row r="8">
          <cell r="D8">
            <v>5538.4251388761186</v>
          </cell>
          <cell r="H8" t="str">
            <v>2</v>
          </cell>
        </row>
        <row r="9">
          <cell r="D9">
            <v>14.226250355266707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Godavari</v>
          </cell>
          <cell r="J4">
            <v>80.594999999999999</v>
          </cell>
        </row>
        <row r="5">
          <cell r="G5" t="str">
            <v>India</v>
          </cell>
          <cell r="J5">
            <v>18.223999999999997</v>
          </cell>
        </row>
        <row r="7">
          <cell r="D7">
            <v>43923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Godavari</v>
          </cell>
          <cell r="J4">
            <v>81.674999999999997</v>
          </cell>
        </row>
        <row r="5">
          <cell r="G5" t="str">
            <v>India</v>
          </cell>
          <cell r="J5">
            <v>17.054000000000002</v>
          </cell>
        </row>
        <row r="7">
          <cell r="D7">
            <v>43922</v>
          </cell>
        </row>
        <row r="8">
          <cell r="D8">
            <v>1150.6918546313918</v>
          </cell>
          <cell r="H8" t="str">
            <v>1</v>
          </cell>
        </row>
        <row r="9">
          <cell r="D9">
            <v>2.4324329977830681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Krishna</v>
          </cell>
          <cell r="J4">
            <v>80.414999999999992</v>
          </cell>
        </row>
        <row r="5">
          <cell r="G5" t="str">
            <v>India</v>
          </cell>
          <cell r="J5">
            <v>16.603999999999999</v>
          </cell>
        </row>
        <row r="7">
          <cell r="D7">
            <v>43922</v>
          </cell>
        </row>
        <row r="8">
          <cell r="D8">
            <v>1551.4664872633161</v>
          </cell>
          <cell r="H8" t="str">
            <v>2</v>
          </cell>
        </row>
        <row r="9">
          <cell r="D9">
            <v>3.6209553522952418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Krishna Reservoir</v>
          </cell>
          <cell r="J4">
            <v>78.254999999999995</v>
          </cell>
        </row>
        <row r="5">
          <cell r="G5" t="str">
            <v>India</v>
          </cell>
          <cell r="J5">
            <v>15.974</v>
          </cell>
        </row>
        <row r="7">
          <cell r="D7">
            <v>43923</v>
          </cell>
        </row>
        <row r="8">
          <cell r="D8">
            <v>0.83882745386128099</v>
          </cell>
          <cell r="H8" t="str">
            <v>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Son</v>
          </cell>
          <cell r="J4">
            <v>84.194999999999993</v>
          </cell>
        </row>
        <row r="5">
          <cell r="J5">
            <v>24.884</v>
          </cell>
        </row>
        <row r="7">
          <cell r="D7">
            <v>43923</v>
          </cell>
        </row>
        <row r="8">
          <cell r="D8">
            <v>624.70419691337156</v>
          </cell>
          <cell r="H8" t="str">
            <v>2</v>
          </cell>
        </row>
        <row r="9">
          <cell r="D9">
            <v>6.2322226463440931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Hugli</v>
          </cell>
          <cell r="J4">
            <v>88.335000000000008</v>
          </cell>
        </row>
        <row r="5">
          <cell r="J5">
            <v>23.533999999999999</v>
          </cell>
        </row>
        <row r="7">
          <cell r="D7">
            <v>43923</v>
          </cell>
        </row>
        <row r="8">
          <cell r="D8">
            <v>73.244920548181369</v>
          </cell>
          <cell r="H8" t="str">
            <v>2</v>
          </cell>
        </row>
        <row r="9">
          <cell r="D9">
            <v>2.3723531501073669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Mahanadi</v>
          </cell>
          <cell r="J4">
            <v>84.465000000000003</v>
          </cell>
        </row>
        <row r="5">
          <cell r="G5" t="str">
            <v>India</v>
          </cell>
          <cell r="J5">
            <v>20.744</v>
          </cell>
        </row>
        <row r="7">
          <cell r="D7">
            <v>43923</v>
          </cell>
        </row>
        <row r="8">
          <cell r="D8">
            <v>2170.0339491753839</v>
          </cell>
          <cell r="H8" t="str">
            <v>2</v>
          </cell>
        </row>
        <row r="9">
          <cell r="D9">
            <v>8.9507157878087718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Chenab</v>
          </cell>
          <cell r="J4">
            <v>73.125</v>
          </cell>
        </row>
        <row r="5">
          <cell r="G5" t="str">
            <v>Pakistan</v>
          </cell>
          <cell r="J5">
            <v>31.904</v>
          </cell>
        </row>
        <row r="7">
          <cell r="D7">
            <v>43922</v>
          </cell>
        </row>
        <row r="8">
          <cell r="D8">
            <v>1488.5524725871062</v>
          </cell>
          <cell r="H8" t="str">
            <v>2</v>
          </cell>
        </row>
        <row r="9">
          <cell r="D9">
            <v>14.677144043442595</v>
          </cell>
          <cell r="H9">
            <v>2.2462935448241148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Mahanadi</v>
          </cell>
          <cell r="J4">
            <v>83.114999999999995</v>
          </cell>
        </row>
        <row r="5">
          <cell r="G5" t="str">
            <v>India</v>
          </cell>
          <cell r="J5">
            <v>21.734000000000002</v>
          </cell>
        </row>
        <row r="7">
          <cell r="D7">
            <v>43923</v>
          </cell>
        </row>
        <row r="8">
          <cell r="D8">
            <v>1192.5874896349851</v>
          </cell>
          <cell r="H8" t="str">
            <v>2</v>
          </cell>
        </row>
        <row r="9">
          <cell r="D9">
            <v>12.536065062972106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Wainganga</v>
          </cell>
          <cell r="J4">
            <v>79.875</v>
          </cell>
        </row>
        <row r="5">
          <cell r="G5" t="str">
            <v>India</v>
          </cell>
          <cell r="J5">
            <v>20.654000000000003</v>
          </cell>
        </row>
        <row r="7">
          <cell r="D7">
            <v>43923</v>
          </cell>
        </row>
        <row r="8">
          <cell r="D8">
            <v>1123.5094129912213</v>
          </cell>
          <cell r="H8" t="str">
            <v>2</v>
          </cell>
        </row>
        <row r="9">
          <cell r="D9">
            <v>19.998959739393406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Wainganga</v>
          </cell>
          <cell r="J4">
            <v>79.694999999999993</v>
          </cell>
        </row>
        <row r="5">
          <cell r="G5" t="str">
            <v>India</v>
          </cell>
          <cell r="J5">
            <v>21.194000000000003</v>
          </cell>
        </row>
        <row r="7">
          <cell r="D7">
            <v>43923</v>
          </cell>
        </row>
        <row r="8">
          <cell r="D8">
            <v>289.73032192818317</v>
          </cell>
          <cell r="H8" t="str">
            <v>2</v>
          </cell>
        </row>
        <row r="9">
          <cell r="D9">
            <v>8.536721035185586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Wainganga</v>
          </cell>
          <cell r="J4">
            <v>79.965000000000003</v>
          </cell>
        </row>
        <row r="5">
          <cell r="G5" t="str">
            <v>India</v>
          </cell>
          <cell r="J5">
            <v>19.484000000000002</v>
          </cell>
        </row>
        <row r="7">
          <cell r="D7">
            <v>43923</v>
          </cell>
        </row>
        <row r="8">
          <cell r="D8">
            <v>1067.3292056947257</v>
          </cell>
          <cell r="H8" t="str">
            <v>2</v>
          </cell>
        </row>
        <row r="9">
          <cell r="D9">
            <v>4.3823034253515845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Nayudupeta</v>
          </cell>
          <cell r="J4">
            <v>79.875</v>
          </cell>
        </row>
        <row r="5">
          <cell r="J5">
            <v>13.904</v>
          </cell>
        </row>
        <row r="7">
          <cell r="D7">
            <v>43919</v>
          </cell>
        </row>
        <row r="8">
          <cell r="D8">
            <v>17.590856309770647</v>
          </cell>
          <cell r="H8" t="str">
            <v>2</v>
          </cell>
        </row>
        <row r="9">
          <cell r="D9">
            <v>2.7099093505042471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Cauvery</v>
          </cell>
          <cell r="J4">
            <v>78.885000000000005</v>
          </cell>
        </row>
        <row r="5">
          <cell r="J5">
            <v>10.843999999999999</v>
          </cell>
        </row>
        <row r="7">
          <cell r="D7">
            <v>43921</v>
          </cell>
        </row>
        <row r="8">
          <cell r="D8">
            <v>624.30168423596547</v>
          </cell>
          <cell r="H8" t="str">
            <v>2</v>
          </cell>
        </row>
        <row r="9">
          <cell r="D9">
            <v>4.227046277277422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Cauvery Delta</v>
          </cell>
          <cell r="J4">
            <v>79.605000000000004</v>
          </cell>
        </row>
        <row r="5">
          <cell r="J5">
            <v>11.204000000000001</v>
          </cell>
        </row>
        <row r="7">
          <cell r="D7">
            <v>43922</v>
          </cell>
        </row>
        <row r="8">
          <cell r="D8">
            <v>1079.237447138159</v>
          </cell>
          <cell r="H8" t="str">
            <v>2</v>
          </cell>
        </row>
        <row r="9">
          <cell r="D9">
            <v>7.3547193735897487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Dnestr</v>
          </cell>
          <cell r="J4">
            <v>29.744999999999997</v>
          </cell>
        </row>
        <row r="5">
          <cell r="G5" t="str">
            <v>Moldova</v>
          </cell>
          <cell r="J5">
            <v>46.664000000000001</v>
          </cell>
        </row>
        <row r="7">
          <cell r="D7">
            <v>43923</v>
          </cell>
        </row>
        <row r="8">
          <cell r="D8">
            <v>290.48451045041759</v>
          </cell>
          <cell r="H8" t="str">
            <v>2</v>
          </cell>
        </row>
        <row r="9">
          <cell r="D9">
            <v>2.4782305620499363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106.785</v>
          </cell>
        </row>
        <row r="5">
          <cell r="G5" t="str">
            <v>China</v>
          </cell>
          <cell r="J5">
            <v>38.923999999999999</v>
          </cell>
        </row>
        <row r="7">
          <cell r="D7">
            <v>43923</v>
          </cell>
        </row>
        <row r="8">
          <cell r="D8">
            <v>508.22885400480209</v>
          </cell>
          <cell r="H8" t="str">
            <v>1</v>
          </cell>
        </row>
        <row r="9">
          <cell r="D9">
            <v>1.2702734045572452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105.795</v>
          </cell>
        </row>
        <row r="5">
          <cell r="G5" t="str">
            <v>China</v>
          </cell>
          <cell r="J5">
            <v>37.573999999999998</v>
          </cell>
        </row>
        <row r="7">
          <cell r="D7">
            <v>43923</v>
          </cell>
        </row>
        <row r="8">
          <cell r="D8">
            <v>1611.9419394725128</v>
          </cell>
          <cell r="H8" t="str">
            <v>2</v>
          </cell>
        </row>
        <row r="9">
          <cell r="D9">
            <v>3.5471749347525141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Fly</v>
          </cell>
          <cell r="J4">
            <v>141.61500000000001</v>
          </cell>
        </row>
        <row r="5">
          <cell r="G5" t="str">
            <v>Papua New Guinea</v>
          </cell>
          <cell r="J5">
            <v>-7.7850000000000001</v>
          </cell>
        </row>
        <row r="7">
          <cell r="D7">
            <v>43922</v>
          </cell>
        </row>
        <row r="8">
          <cell r="D8">
            <v>5692.7282235342855</v>
          </cell>
          <cell r="H8" t="str">
            <v>1</v>
          </cell>
        </row>
        <row r="9">
          <cell r="D9">
            <v>54.926476646830125</v>
          </cell>
          <cell r="H9">
            <v>0.71102845918598134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110.565</v>
          </cell>
        </row>
        <row r="5">
          <cell r="G5" t="str">
            <v>China</v>
          </cell>
          <cell r="J5">
            <v>35.504000000000005</v>
          </cell>
        </row>
        <row r="7">
          <cell r="D7">
            <v>43923</v>
          </cell>
        </row>
        <row r="8">
          <cell r="D8">
            <v>2520.0379424137323</v>
          </cell>
          <cell r="H8" t="str">
            <v>2</v>
          </cell>
        </row>
        <row r="9">
          <cell r="D9">
            <v>3.2478146421022243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Yiluo He</v>
          </cell>
          <cell r="J4">
            <v>112.815</v>
          </cell>
        </row>
        <row r="5">
          <cell r="G5" t="str">
            <v>China</v>
          </cell>
          <cell r="J5">
            <v>34.694000000000003</v>
          </cell>
        </row>
        <row r="7">
          <cell r="D7">
            <v>43923</v>
          </cell>
        </row>
        <row r="8">
          <cell r="D8">
            <v>107.63659220655441</v>
          </cell>
          <cell r="H8" t="str">
            <v>2</v>
          </cell>
        </row>
        <row r="9">
          <cell r="D9">
            <v>4.1800672856976897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113.535</v>
          </cell>
        </row>
        <row r="5">
          <cell r="G5" t="str">
            <v>China</v>
          </cell>
          <cell r="J5">
            <v>34.963999999999999</v>
          </cell>
        </row>
        <row r="7">
          <cell r="D7">
            <v>43923</v>
          </cell>
        </row>
        <row r="8">
          <cell r="D8">
            <v>2556.696905249803</v>
          </cell>
          <cell r="H8" t="str">
            <v>2</v>
          </cell>
        </row>
        <row r="9">
          <cell r="D9">
            <v>2.1919970304867826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114.88500000000001</v>
          </cell>
        </row>
        <row r="5">
          <cell r="G5" t="str">
            <v>China</v>
          </cell>
          <cell r="J5">
            <v>35.143999999999998</v>
          </cell>
        </row>
        <row r="7">
          <cell r="D7">
            <v>43922</v>
          </cell>
        </row>
        <row r="8">
          <cell r="D8">
            <v>2228.4959369918474</v>
          </cell>
          <cell r="H8" t="str">
            <v>2</v>
          </cell>
        </row>
        <row r="9">
          <cell r="D9">
            <v>1.7438515055421087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Yellow (Huang He)</v>
          </cell>
          <cell r="J4">
            <v>115.785</v>
          </cell>
        </row>
        <row r="5">
          <cell r="G5" t="str">
            <v>China</v>
          </cell>
          <cell r="J5">
            <v>35.864000000000004</v>
          </cell>
        </row>
        <row r="7">
          <cell r="D7">
            <v>43921</v>
          </cell>
        </row>
        <row r="8">
          <cell r="D8">
            <v>1894.0143979285381</v>
          </cell>
          <cell r="H8" t="str">
            <v>2</v>
          </cell>
        </row>
        <row r="9">
          <cell r="D9">
            <v>1.4628464394373522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Pi</v>
          </cell>
          <cell r="J4">
            <v>116.505</v>
          </cell>
        </row>
        <row r="5">
          <cell r="G5" t="str">
            <v>China</v>
          </cell>
          <cell r="J5">
            <v>31.994</v>
          </cell>
        </row>
        <row r="7">
          <cell r="D7">
            <v>43922</v>
          </cell>
        </row>
        <row r="8">
          <cell r="D8">
            <v>114.93880159546246</v>
          </cell>
          <cell r="H8" t="str">
            <v>2</v>
          </cell>
        </row>
        <row r="9">
          <cell r="D9">
            <v>16.846884760775062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Yangtze</v>
          </cell>
          <cell r="J4">
            <v>118.395</v>
          </cell>
        </row>
        <row r="5">
          <cell r="G5" t="str">
            <v>China</v>
          </cell>
          <cell r="J5">
            <v>31.723999999999997</v>
          </cell>
        </row>
        <row r="7">
          <cell r="D7">
            <v>43922</v>
          </cell>
        </row>
        <row r="8">
          <cell r="D8">
            <v>15615.841152081508</v>
          </cell>
          <cell r="H8" t="str">
            <v>1</v>
          </cell>
        </row>
        <row r="9">
          <cell r="D9">
            <v>5.7757554216382525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Xin</v>
          </cell>
          <cell r="J4">
            <v>116.77500000000001</v>
          </cell>
        </row>
        <row r="5">
          <cell r="G5" t="str">
            <v>China</v>
          </cell>
          <cell r="J5">
            <v>28.484000000000002</v>
          </cell>
        </row>
        <row r="7">
          <cell r="D7">
            <v>43922</v>
          </cell>
        </row>
        <row r="8">
          <cell r="D8">
            <v>471.3926520624068</v>
          </cell>
          <cell r="H8" t="str">
            <v>1</v>
          </cell>
        </row>
        <row r="9">
          <cell r="D9">
            <v>21.445513099959054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Qu</v>
          </cell>
          <cell r="J4">
            <v>119.11499999999999</v>
          </cell>
        </row>
        <row r="5">
          <cell r="G5" t="str">
            <v>China</v>
          </cell>
          <cell r="J5">
            <v>29.024000000000001</v>
          </cell>
        </row>
        <row r="7">
          <cell r="D7">
            <v>43922</v>
          </cell>
        </row>
        <row r="8">
          <cell r="D8">
            <v>284.70358849952436</v>
          </cell>
          <cell r="H8" t="str">
            <v>2</v>
          </cell>
        </row>
        <row r="9">
          <cell r="D9">
            <v>14.557674340861062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Fuchun</v>
          </cell>
          <cell r="J4">
            <v>120.015</v>
          </cell>
        </row>
        <row r="5">
          <cell r="G5" t="str">
            <v>China</v>
          </cell>
          <cell r="J5">
            <v>30.014000000000003</v>
          </cell>
        </row>
        <row r="7">
          <cell r="D7">
            <v>43922</v>
          </cell>
        </row>
        <row r="8">
          <cell r="D8">
            <v>593.8493661498743</v>
          </cell>
          <cell r="H8" t="str">
            <v>1</v>
          </cell>
        </row>
        <row r="9">
          <cell r="D9">
            <v>8.947950856409177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Mekong</v>
          </cell>
          <cell r="J4">
            <v>104.715</v>
          </cell>
        </row>
        <row r="5">
          <cell r="G5" t="str">
            <v>Thailand</v>
          </cell>
          <cell r="J5">
            <v>16.963999999999999</v>
          </cell>
        </row>
        <row r="7">
          <cell r="D7">
            <v>43922</v>
          </cell>
        </row>
        <row r="8">
          <cell r="D8">
            <v>10359.779426064582</v>
          </cell>
          <cell r="H8" t="str">
            <v>2</v>
          </cell>
        </row>
        <row r="9">
          <cell r="D9">
            <v>17.450713289261714</v>
          </cell>
          <cell r="H9">
            <v>1.6771199749974164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Min Mouth</v>
          </cell>
          <cell r="J4">
            <v>119.205</v>
          </cell>
        </row>
        <row r="5">
          <cell r="G5" t="str">
            <v>China</v>
          </cell>
          <cell r="J5">
            <v>26.054000000000002</v>
          </cell>
        </row>
        <row r="7">
          <cell r="D7">
            <v>43922</v>
          </cell>
        </row>
        <row r="8">
          <cell r="D8">
            <v>1257.9949679619513</v>
          </cell>
          <cell r="H8" t="str">
            <v>2</v>
          </cell>
        </row>
        <row r="9">
          <cell r="D9">
            <v>11.9213980627945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</v>
          </cell>
          <cell r="J4">
            <v>114.795</v>
          </cell>
        </row>
        <row r="5">
          <cell r="G5" t="str">
            <v>China</v>
          </cell>
          <cell r="J5">
            <v>26.683999999999997</v>
          </cell>
        </row>
        <row r="7">
          <cell r="D7">
            <v>43922</v>
          </cell>
        </row>
        <row r="8">
          <cell r="D8">
            <v>509.78216236498412</v>
          </cell>
          <cell r="H8" t="str">
            <v>1</v>
          </cell>
        </row>
        <row r="9">
          <cell r="D9">
            <v>21.804565758266314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Han</v>
          </cell>
          <cell r="J4">
            <v>116.685</v>
          </cell>
        </row>
        <row r="5">
          <cell r="G5" t="str">
            <v>China</v>
          </cell>
          <cell r="J5">
            <v>23.624000000000002</v>
          </cell>
        </row>
        <row r="7">
          <cell r="D7">
            <v>43922</v>
          </cell>
        </row>
        <row r="8">
          <cell r="D8">
            <v>760.90707608676746</v>
          </cell>
          <cell r="H8" t="str">
            <v>2</v>
          </cell>
        </row>
        <row r="9">
          <cell r="D9">
            <v>15.356815989283419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Cagayan Mouth</v>
          </cell>
          <cell r="J4">
            <v>121.63500000000001</v>
          </cell>
        </row>
        <row r="5">
          <cell r="G5" t="str">
            <v>Philippines</v>
          </cell>
          <cell r="J5">
            <v>18.134</v>
          </cell>
        </row>
        <row r="7">
          <cell r="D7">
            <v>43923</v>
          </cell>
        </row>
        <row r="8">
          <cell r="D8">
            <v>399.438684012576</v>
          </cell>
          <cell r="H8" t="str">
            <v>2</v>
          </cell>
        </row>
        <row r="9">
          <cell r="D9">
            <v>8.1359292093571547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Tarlac</v>
          </cell>
          <cell r="J4">
            <v>120.55500000000001</v>
          </cell>
        </row>
        <row r="5">
          <cell r="G5" t="str">
            <v>Philippines</v>
          </cell>
          <cell r="J5">
            <v>15.614000000000001</v>
          </cell>
        </row>
        <row r="7">
          <cell r="D7">
            <v>43923</v>
          </cell>
        </row>
        <row r="8">
          <cell r="D8">
            <v>13.249294133714301</v>
          </cell>
          <cell r="H8" t="str">
            <v>2</v>
          </cell>
        </row>
        <row r="9">
          <cell r="D9">
            <v>8.9579194306750995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Pampanga Delta</v>
          </cell>
          <cell r="J4">
            <v>120.735</v>
          </cell>
        </row>
        <row r="5">
          <cell r="G5" t="str">
            <v>Philippines</v>
          </cell>
          <cell r="J5">
            <v>14.894</v>
          </cell>
        </row>
        <row r="7">
          <cell r="D7">
            <v>43923</v>
          </cell>
        </row>
        <row r="8">
          <cell r="D8">
            <v>627.30631894688065</v>
          </cell>
          <cell r="H8" t="str">
            <v>3</v>
          </cell>
        </row>
        <row r="9">
          <cell r="D9">
            <v>50.713706511890194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Tarlac</v>
          </cell>
          <cell r="J4">
            <v>120.465</v>
          </cell>
        </row>
        <row r="5">
          <cell r="G5" t="str">
            <v>Philippines</v>
          </cell>
          <cell r="J5">
            <v>15.343999999999999</v>
          </cell>
        </row>
        <row r="7">
          <cell r="D7">
            <v>43923</v>
          </cell>
        </row>
        <row r="8">
          <cell r="D8">
            <v>3.0485512614475319</v>
          </cell>
          <cell r="H8" t="str">
            <v>2</v>
          </cell>
        </row>
        <row r="9">
          <cell r="D9">
            <v>9.2947041246385034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Tineg</v>
          </cell>
          <cell r="J4">
            <v>120.645</v>
          </cell>
        </row>
        <row r="5">
          <cell r="G5" t="str">
            <v>Philippines</v>
          </cell>
          <cell r="J5">
            <v>17.594000000000001</v>
          </cell>
        </row>
        <row r="7">
          <cell r="D7">
            <v>43923</v>
          </cell>
        </row>
        <row r="8">
          <cell r="D8">
            <v>16.31464701640742</v>
          </cell>
          <cell r="H8" t="str">
            <v>2</v>
          </cell>
        </row>
        <row r="9">
          <cell r="D9">
            <v>9.714212159271991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Mindanao</v>
          </cell>
          <cell r="J4">
            <v>124.33500000000001</v>
          </cell>
        </row>
        <row r="5">
          <cell r="G5" t="str">
            <v>Philippines</v>
          </cell>
          <cell r="J5">
            <v>7.1539999999999999</v>
          </cell>
        </row>
        <row r="7">
          <cell r="D7">
            <v>43921</v>
          </cell>
        </row>
        <row r="8">
          <cell r="D8">
            <v>311.77139621987067</v>
          </cell>
          <cell r="H8" t="str">
            <v>1</v>
          </cell>
        </row>
        <row r="9">
          <cell r="D9">
            <v>9.4399050749427396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Pulangi</v>
          </cell>
          <cell r="J4">
            <v>124.785</v>
          </cell>
        </row>
        <row r="5">
          <cell r="G5" t="str">
            <v>Philippines</v>
          </cell>
          <cell r="J5">
            <v>7.1539999999999999</v>
          </cell>
        </row>
        <row r="7">
          <cell r="D7">
            <v>43921</v>
          </cell>
        </row>
        <row r="8">
          <cell r="D8">
            <v>0</v>
          </cell>
          <cell r="H8" t="str">
            <v>1</v>
          </cell>
        </row>
        <row r="9">
          <cell r="D9">
            <v>0.1356029395394644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Red</v>
          </cell>
          <cell r="J4">
            <v>-97.153999999999996</v>
          </cell>
        </row>
        <row r="5">
          <cell r="G5" t="str">
            <v>USA</v>
          </cell>
          <cell r="J5">
            <v>48.463999999999999</v>
          </cell>
        </row>
        <row r="7">
          <cell r="D7">
            <v>43923</v>
          </cell>
        </row>
        <row r="8">
          <cell r="D8">
            <v>530.93332816766713</v>
          </cell>
          <cell r="H8" t="str">
            <v>2</v>
          </cell>
        </row>
        <row r="9">
          <cell r="D9">
            <v>2.9026748244566605</v>
          </cell>
          <cell r="H9">
            <v>0.91849538756862525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Pahang</v>
          </cell>
          <cell r="J4">
            <v>103.27500000000001</v>
          </cell>
        </row>
        <row r="5">
          <cell r="G5" t="str">
            <v>Malaysia</v>
          </cell>
          <cell r="J5">
            <v>3.5540000000000003</v>
          </cell>
        </row>
        <row r="7">
          <cell r="D7">
            <v>43921</v>
          </cell>
        </row>
        <row r="8">
          <cell r="D8">
            <v>1303.514504289471</v>
          </cell>
          <cell r="H8" t="str">
            <v>2</v>
          </cell>
        </row>
        <row r="9">
          <cell r="D9">
            <v>25.399326077464291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Kelantan</v>
          </cell>
          <cell r="J4">
            <v>102.19499999999999</v>
          </cell>
        </row>
        <row r="5">
          <cell r="G5" t="str">
            <v>Malaysia</v>
          </cell>
          <cell r="J5">
            <v>6.0739999999999998</v>
          </cell>
        </row>
        <row r="7">
          <cell r="D7">
            <v>43921</v>
          </cell>
        </row>
        <row r="8">
          <cell r="D8">
            <v>151.77157824792926</v>
          </cell>
          <cell r="H8" t="str">
            <v>1</v>
          </cell>
        </row>
        <row r="9">
          <cell r="D9">
            <v>7.0224190906584649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Murrumbidgee</v>
          </cell>
          <cell r="J4">
            <v>146.47500000000002</v>
          </cell>
        </row>
        <row r="5">
          <cell r="G5" t="str">
            <v>Australia</v>
          </cell>
          <cell r="J5">
            <v>-34.695</v>
          </cell>
        </row>
        <row r="7">
          <cell r="D7">
            <v>43923</v>
          </cell>
        </row>
        <row r="8">
          <cell r="D8">
            <v>123.87572950253018</v>
          </cell>
          <cell r="H8" t="str">
            <v>2</v>
          </cell>
        </row>
        <row r="9">
          <cell r="D9">
            <v>1.3089748228266629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Artibonite</v>
          </cell>
          <cell r="J4">
            <v>-72.584000000000003</v>
          </cell>
        </row>
        <row r="5">
          <cell r="G5" t="str">
            <v>Haiti</v>
          </cell>
          <cell r="J5">
            <v>19.213999999999999</v>
          </cell>
        </row>
        <row r="7">
          <cell r="D7">
            <v>43922</v>
          </cell>
        </row>
        <row r="8">
          <cell r="D8">
            <v>135.11852871090218</v>
          </cell>
          <cell r="H8" t="str">
            <v>2</v>
          </cell>
        </row>
        <row r="9">
          <cell r="D9">
            <v>7.8921940341499912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J4">
            <v>-85.994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Patuca</v>
          </cell>
          <cell r="J4">
            <v>-84.373999999999995</v>
          </cell>
        </row>
        <row r="5">
          <cell r="G5" t="str">
            <v>Honduras</v>
          </cell>
          <cell r="J5">
            <v>15.614000000000001</v>
          </cell>
        </row>
        <row r="7">
          <cell r="D7">
            <v>43856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Mamore</v>
          </cell>
          <cell r="J4">
            <v>-65.024000000000001</v>
          </cell>
        </row>
        <row r="5">
          <cell r="G5" t="str">
            <v>Bolivia</v>
          </cell>
          <cell r="J5">
            <v>-14.984999999999999</v>
          </cell>
        </row>
        <row r="7">
          <cell r="D7">
            <v>43922</v>
          </cell>
        </row>
        <row r="8">
          <cell r="D8">
            <v>5186.754941288782</v>
          </cell>
          <cell r="H8" t="str">
            <v>2</v>
          </cell>
        </row>
        <row r="9">
          <cell r="D9">
            <v>11.495043463860435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Ichilo</v>
          </cell>
          <cell r="J4">
            <v>-64.664000000000001</v>
          </cell>
        </row>
        <row r="5">
          <cell r="G5" t="str">
            <v>Bolivia</v>
          </cell>
          <cell r="J5">
            <v>-16.155000000000001</v>
          </cell>
        </row>
        <row r="7">
          <cell r="D7">
            <v>43922</v>
          </cell>
        </row>
        <row r="8">
          <cell r="D8">
            <v>548.58419871283195</v>
          </cell>
          <cell r="H8" t="str">
            <v>1</v>
          </cell>
        </row>
        <row r="9">
          <cell r="D9">
            <v>30.995536052959462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Isiboro</v>
          </cell>
          <cell r="J4">
            <v>-65.293999999999997</v>
          </cell>
        </row>
        <row r="5">
          <cell r="G5" t="str">
            <v>Bolivia</v>
          </cell>
          <cell r="J5">
            <v>-15.885</v>
          </cell>
        </row>
        <row r="7">
          <cell r="D7">
            <v>43923</v>
          </cell>
        </row>
        <row r="8">
          <cell r="D8">
            <v>890.97756181372517</v>
          </cell>
          <cell r="H8" t="str">
            <v>1</v>
          </cell>
        </row>
        <row r="9">
          <cell r="D9">
            <v>63.473336595358056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Darling</v>
          </cell>
          <cell r="J4">
            <v>142.36343256149999</v>
          </cell>
        </row>
        <row r="5">
          <cell r="G5" t="str">
            <v>Australia</v>
          </cell>
          <cell r="J5">
            <v>-33.005387116400001</v>
          </cell>
        </row>
        <row r="7">
          <cell r="D7">
            <v>43923</v>
          </cell>
        </row>
        <row r="8">
          <cell r="D8">
            <v>181.31848377244921</v>
          </cell>
          <cell r="H8" t="str">
            <v>2</v>
          </cell>
        </row>
        <row r="9">
          <cell r="D9">
            <v>0.19376325894103363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Sacramento</v>
          </cell>
          <cell r="J4">
            <v>-121.634</v>
          </cell>
        </row>
        <row r="5">
          <cell r="G5" t="str">
            <v>USA</v>
          </cell>
          <cell r="J5">
            <v>38.653999999999996</v>
          </cell>
        </row>
        <row r="7">
          <cell r="D7">
            <v>43855</v>
          </cell>
        </row>
        <row r="8">
          <cell r="D8">
            <v>1389.8690771220708</v>
          </cell>
          <cell r="H8" t="str">
            <v>2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Merowe Reservoir</v>
          </cell>
          <cell r="J4">
            <v>32.257910664850002</v>
          </cell>
        </row>
        <row r="5">
          <cell r="G5" t="str">
            <v>Sudan</v>
          </cell>
          <cell r="J5">
            <v>18.926163995900001</v>
          </cell>
        </row>
        <row r="7">
          <cell r="D7">
            <v>43923</v>
          </cell>
        </row>
        <row r="8">
          <cell r="D8">
            <v>0.97715788865936337</v>
          </cell>
          <cell r="H8" t="str">
            <v>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Nile</v>
          </cell>
          <cell r="J4">
            <v>31.118244517000001</v>
          </cell>
        </row>
        <row r="5">
          <cell r="G5" t="str">
            <v>Sudan</v>
          </cell>
          <cell r="J5">
            <v>21.6282163405</v>
          </cell>
        </row>
        <row r="7">
          <cell r="D7">
            <v>43923</v>
          </cell>
        </row>
        <row r="8">
          <cell r="D8">
            <v>0.97553248933404701</v>
          </cell>
          <cell r="H8" t="str">
            <v>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Habbaniyah Lake</v>
          </cell>
          <cell r="J4">
            <v>43.420297554549997</v>
          </cell>
        </row>
        <row r="5">
          <cell r="G5" t="str">
            <v>Iraq</v>
          </cell>
          <cell r="J5">
            <v>33.419790656750003</v>
          </cell>
        </row>
        <row r="7">
          <cell r="D7">
            <v>43923</v>
          </cell>
        </row>
        <row r="8">
          <cell r="D8">
            <v>1.0009501032854935</v>
          </cell>
          <cell r="H8" t="str">
            <v>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Cuito</v>
          </cell>
          <cell r="J4">
            <v>19.62</v>
          </cell>
        </row>
        <row r="5">
          <cell r="G5" t="str">
            <v>Namibia</v>
          </cell>
          <cell r="J5">
            <v>-17.865000000000002</v>
          </cell>
        </row>
        <row r="7">
          <cell r="D7">
            <v>43922</v>
          </cell>
        </row>
        <row r="8">
          <cell r="D8">
            <v>681.06776245602305</v>
          </cell>
          <cell r="H8" t="str">
            <v>2</v>
          </cell>
        </row>
        <row r="9">
          <cell r="D9">
            <v>1.4357786384868798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Khasm El Girba Dam</v>
          </cell>
          <cell r="J4">
            <v>35.909999999999997</v>
          </cell>
        </row>
        <row r="5">
          <cell r="G5" t="str">
            <v>Sudan</v>
          </cell>
          <cell r="J5">
            <v>14.759</v>
          </cell>
        </row>
        <row r="7">
          <cell r="D7">
            <v>43922</v>
          </cell>
        </row>
        <row r="8">
          <cell r="D8">
            <v>0.88898182080231958</v>
          </cell>
          <cell r="H8" t="str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Meghna</v>
          </cell>
          <cell r="J4">
            <v>92.925000000000011</v>
          </cell>
        </row>
        <row r="5">
          <cell r="G5" t="str">
            <v>Bangladesh</v>
          </cell>
          <cell r="J5">
            <v>24.704000000000001</v>
          </cell>
        </row>
        <row r="7">
          <cell r="D7">
            <v>43922</v>
          </cell>
        </row>
        <row r="8">
          <cell r="D8">
            <v>33.510817121313096</v>
          </cell>
          <cell r="H8" t="str">
            <v>1</v>
          </cell>
        </row>
        <row r="9">
          <cell r="D9">
            <v>4.6108808154900736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Papaloapan</v>
          </cell>
          <cell r="J4">
            <v>-95.668999999999997</v>
          </cell>
        </row>
        <row r="5">
          <cell r="G5" t="str">
            <v>Mexico</v>
          </cell>
          <cell r="J5">
            <v>18.584000000000003</v>
          </cell>
        </row>
        <row r="7">
          <cell r="D7">
            <v>43922</v>
          </cell>
        </row>
        <row r="8">
          <cell r="D8">
            <v>153.55528065027028</v>
          </cell>
          <cell r="H8" t="str">
            <v>2</v>
          </cell>
        </row>
        <row r="9">
          <cell r="D9">
            <v>38.371085910120556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Cauca</v>
          </cell>
          <cell r="J4">
            <v>-76.454000000000008</v>
          </cell>
        </row>
        <row r="5">
          <cell r="G5" t="str">
            <v>Site 25</v>
          </cell>
          <cell r="J5">
            <v>3.5540000000000003</v>
          </cell>
        </row>
        <row r="7">
          <cell r="D7">
            <v>43923</v>
          </cell>
        </row>
        <row r="8">
          <cell r="D8">
            <v>424.96759458846691</v>
          </cell>
          <cell r="H8" t="str">
            <v>2</v>
          </cell>
        </row>
        <row r="9">
          <cell r="D9">
            <v>31.495196073207374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Cauca</v>
          </cell>
          <cell r="J4">
            <v>-76.364000000000004</v>
          </cell>
        </row>
        <row r="5">
          <cell r="G5" t="str">
            <v>Site 29</v>
          </cell>
          <cell r="J5">
            <v>3.8239999999999998</v>
          </cell>
        </row>
        <row r="7">
          <cell r="D7">
            <v>43923</v>
          </cell>
        </row>
        <row r="8">
          <cell r="D8">
            <v>704.16577378060902</v>
          </cell>
          <cell r="H8" t="str">
            <v>2</v>
          </cell>
        </row>
        <row r="9">
          <cell r="D9">
            <v>33.888156970510458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Cauca</v>
          </cell>
          <cell r="J4">
            <v>-76.274000000000001</v>
          </cell>
        </row>
        <row r="5">
          <cell r="G5" t="str">
            <v>Colombia</v>
          </cell>
          <cell r="J5">
            <v>4.0940000000000003</v>
          </cell>
        </row>
        <row r="7">
          <cell r="D7">
            <v>43923</v>
          </cell>
        </row>
        <row r="8">
          <cell r="D8">
            <v>120.68610684416308</v>
          </cell>
          <cell r="H8" t="str">
            <v>2</v>
          </cell>
        </row>
        <row r="9">
          <cell r="D9">
            <v>80.099729950546504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Sao Francisco</v>
          </cell>
          <cell r="J4">
            <v>-43.423999999999999</v>
          </cell>
        </row>
        <row r="5">
          <cell r="G5" t="str">
            <v>Brazil</v>
          </cell>
          <cell r="J5">
            <v>-13.095000000000001</v>
          </cell>
        </row>
        <row r="7">
          <cell r="D7">
            <v>43923</v>
          </cell>
        </row>
        <row r="8">
          <cell r="D8">
            <v>4719.2286533707902</v>
          </cell>
          <cell r="H8" t="str">
            <v>2</v>
          </cell>
        </row>
        <row r="9">
          <cell r="D9">
            <v>12.212489115044141</v>
          </cell>
          <cell r="H9">
            <v>1.3892975645982422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Wabash</v>
          </cell>
          <cell r="J4">
            <v>-87.974000000000004</v>
          </cell>
        </row>
        <row r="5">
          <cell r="G5" t="str">
            <v>USA</v>
          </cell>
          <cell r="J5">
            <v>38.204000000000001</v>
          </cell>
        </row>
        <row r="7">
          <cell r="D7">
            <v>43854</v>
          </cell>
        </row>
        <row r="8">
          <cell r="D8">
            <v>6314.1755367791839</v>
          </cell>
          <cell r="H8" t="str">
            <v>3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Chenab River</v>
          </cell>
          <cell r="J4">
            <v>70.965000000000003</v>
          </cell>
        </row>
        <row r="5">
          <cell r="G5" t="str">
            <v>Pakistan</v>
          </cell>
          <cell r="J5">
            <v>29.293999999999997</v>
          </cell>
        </row>
        <row r="7">
          <cell r="D7">
            <v>43922</v>
          </cell>
        </row>
        <row r="8">
          <cell r="D8">
            <v>5342.8804064418273</v>
          </cell>
          <cell r="H8" t="str">
            <v>2</v>
          </cell>
        </row>
        <row r="9">
          <cell r="D9">
            <v>4.7325846231126745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>
            <v>0</v>
          </cell>
          <cell r="J4">
            <v>68.625</v>
          </cell>
        </row>
        <row r="5">
          <cell r="G5" t="str">
            <v>Pakistan</v>
          </cell>
          <cell r="J5">
            <v>27.764000000000003</v>
          </cell>
        </row>
        <row r="7">
          <cell r="D7">
            <v>43922</v>
          </cell>
        </row>
        <row r="8">
          <cell r="D8">
            <v>1523.7476740073434</v>
          </cell>
          <cell r="H8" t="str">
            <v>2</v>
          </cell>
        </row>
        <row r="9">
          <cell r="D9">
            <v>1.1030437064907892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4">
          <cell r="G4" t="str">
            <v>Cienega de Santa Clara</v>
          </cell>
          <cell r="J4">
            <v>-114.70400000000001</v>
          </cell>
        </row>
        <row r="5">
          <cell r="G5" t="str">
            <v>Mexico</v>
          </cell>
          <cell r="J5">
            <v>31.904000000000003</v>
          </cell>
        </row>
        <row r="7">
          <cell r="D7">
            <v>43923</v>
          </cell>
        </row>
        <row r="8">
          <cell r="D8">
            <v>0.93903869164461429</v>
          </cell>
        </row>
        <row r="9">
          <cell r="H9" t="str">
            <v>4</v>
          </cell>
        </row>
      </sheetData>
      <sheetData sheetId="2"/>
      <sheetData sheetId="3"/>
      <sheetData sheetId="4"/>
    </sheetDataSet>
  </externalBook>
</externalLink>
</file>

<file path=xl/externalLinks/externalLink3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Apure</v>
          </cell>
          <cell r="J4">
            <v>-69.343999999999994</v>
          </cell>
        </row>
        <row r="5">
          <cell r="G5" t="str">
            <v>Venezuela</v>
          </cell>
          <cell r="J5">
            <v>8.0540000000000003</v>
          </cell>
        </row>
        <row r="7">
          <cell r="D7">
            <v>43923</v>
          </cell>
        </row>
        <row r="8">
          <cell r="D8">
            <v>622.16715315425267</v>
          </cell>
          <cell r="H8" t="str">
            <v>1</v>
          </cell>
        </row>
        <row r="9">
          <cell r="D9">
            <v>8.4495270116907051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Apure</v>
          </cell>
          <cell r="J4">
            <v>-68.713999999999999</v>
          </cell>
        </row>
        <row r="5">
          <cell r="G5" t="str">
            <v>Venezuela</v>
          </cell>
          <cell r="J5">
            <v>7.8739999999999997</v>
          </cell>
        </row>
        <row r="7">
          <cell r="D7">
            <v>43923</v>
          </cell>
        </row>
        <row r="8">
          <cell r="D8">
            <v>160.78333818834494</v>
          </cell>
          <cell r="H8" t="str">
            <v>1</v>
          </cell>
        </row>
        <row r="9">
          <cell r="D9">
            <v>1.6144737894230452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Rio Apure</v>
          </cell>
          <cell r="J4">
            <v>-68.444000000000003</v>
          </cell>
        </row>
        <row r="5">
          <cell r="G5" t="str">
            <v>Venezuela</v>
          </cell>
          <cell r="J5">
            <v>7.5140000000000002</v>
          </cell>
        </row>
        <row r="7">
          <cell r="D7">
            <v>43923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Rio Apure</v>
          </cell>
          <cell r="J4">
            <v>-67.543999999999997</v>
          </cell>
        </row>
        <row r="5">
          <cell r="G5" t="str">
            <v>Venezuela</v>
          </cell>
          <cell r="J5">
            <v>7.0640000000000001</v>
          </cell>
        </row>
        <row r="7">
          <cell r="D7">
            <v>43923</v>
          </cell>
        </row>
        <row r="8">
          <cell r="D8">
            <v>37.674478175117258</v>
          </cell>
          <cell r="H8" t="str">
            <v>1</v>
          </cell>
        </row>
        <row r="9">
          <cell r="D9">
            <v>4.5090970319488083E-2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Orinoco</v>
          </cell>
          <cell r="J4">
            <v>-63.494</v>
          </cell>
        </row>
        <row r="5">
          <cell r="G5" t="str">
            <v>Venezuela</v>
          </cell>
          <cell r="J5">
            <v>8.1440000000000001</v>
          </cell>
        </row>
        <row r="7">
          <cell r="D7">
            <v>43922</v>
          </cell>
        </row>
        <row r="8">
          <cell r="D8">
            <v>17250.624828915479</v>
          </cell>
          <cell r="H8" t="str">
            <v>2</v>
          </cell>
        </row>
        <row r="9">
          <cell r="D9">
            <v>13.161169081189779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Desaguadero</v>
          </cell>
          <cell r="J4">
            <v>-68.623999999999995</v>
          </cell>
        </row>
        <row r="5">
          <cell r="G5" t="str">
            <v>Bolivia</v>
          </cell>
          <cell r="J5">
            <v>-17.325000000000003</v>
          </cell>
        </row>
        <row r="7">
          <cell r="D7">
            <v>43923</v>
          </cell>
        </row>
        <row r="8">
          <cell r="D8">
            <v>0</v>
          </cell>
          <cell r="H8" t="str">
            <v>2</v>
          </cell>
        </row>
        <row r="9">
          <cell r="D9">
            <v>0.38856657660491561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Mamore</v>
          </cell>
          <cell r="J4">
            <v>-64.843999999999994</v>
          </cell>
        </row>
        <row r="5">
          <cell r="G5" t="str">
            <v>Bolivia</v>
          </cell>
          <cell r="J5">
            <v>-15.345000000000001</v>
          </cell>
        </row>
        <row r="7">
          <cell r="D7">
            <v>43922</v>
          </cell>
        </row>
        <row r="8">
          <cell r="D8">
            <v>4059.6712634464898</v>
          </cell>
          <cell r="H8" t="str">
            <v>2</v>
          </cell>
        </row>
        <row r="9">
          <cell r="D9">
            <v>9.7711441180023098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Chambeshi</v>
          </cell>
          <cell r="J4">
            <v>30.555</v>
          </cell>
        </row>
        <row r="5">
          <cell r="G5" t="str">
            <v>Zambia</v>
          </cell>
          <cell r="J5">
            <v>-11.385</v>
          </cell>
        </row>
        <row r="7">
          <cell r="D7">
            <v>43923</v>
          </cell>
        </row>
        <row r="8">
          <cell r="D8">
            <v>8339.5854934706058</v>
          </cell>
          <cell r="H8" t="str">
            <v>4</v>
          </cell>
        </row>
        <row r="9">
          <cell r="D9">
            <v>95.00888511939003</v>
          </cell>
          <cell r="H9">
            <v>2.5903968334279575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Mamore</v>
          </cell>
          <cell r="J4">
            <v>-65.024000000000001</v>
          </cell>
        </row>
        <row r="5">
          <cell r="G5" t="str">
            <v>Bolivia</v>
          </cell>
          <cell r="J5">
            <v>-12.824999999999999</v>
          </cell>
        </row>
        <row r="7">
          <cell r="D7">
            <v>43922</v>
          </cell>
        </row>
        <row r="8">
          <cell r="D8">
            <v>4617.7624881908487</v>
          </cell>
          <cell r="H8" t="str">
            <v>2</v>
          </cell>
        </row>
        <row r="9">
          <cell r="D9">
            <v>8.7980342181418383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Beni</v>
          </cell>
          <cell r="J4">
            <v>-66.103999999999999</v>
          </cell>
        </row>
        <row r="5">
          <cell r="G5" t="str">
            <v>Bolivia</v>
          </cell>
          <cell r="J5">
            <v>-11.025</v>
          </cell>
        </row>
        <row r="7">
          <cell r="D7">
            <v>43921</v>
          </cell>
        </row>
        <row r="8">
          <cell r="D8">
            <v>2720.674217290978</v>
          </cell>
          <cell r="H8" t="str">
            <v>2</v>
          </cell>
        </row>
        <row r="9">
          <cell r="D9">
            <v>13.406504884516819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Beni</v>
          </cell>
          <cell r="J4">
            <v>-67.543999999999997</v>
          </cell>
        </row>
        <row r="5">
          <cell r="G5" t="str">
            <v>Bolivia</v>
          </cell>
          <cell r="J5">
            <v>-14.445</v>
          </cell>
        </row>
        <row r="7">
          <cell r="D7">
            <v>43923</v>
          </cell>
        </row>
        <row r="8">
          <cell r="D8">
            <v>712.91024023410068</v>
          </cell>
          <cell r="H8" t="str">
            <v>1</v>
          </cell>
        </row>
        <row r="9">
          <cell r="D9">
            <v>7.934749557124146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Desaguadero</v>
          </cell>
          <cell r="J4">
            <v>-68.533999999999992</v>
          </cell>
        </row>
        <row r="5">
          <cell r="G5" t="str">
            <v>Bolivia</v>
          </cell>
          <cell r="J5">
            <v>-17.505000000000003</v>
          </cell>
        </row>
        <row r="7">
          <cell r="D7">
            <v>43923</v>
          </cell>
        </row>
        <row r="8">
          <cell r="D8">
            <v>11.026797472991632</v>
          </cell>
          <cell r="H8" t="str">
            <v>2</v>
          </cell>
        </row>
        <row r="9">
          <cell r="D9">
            <v>1.3458822951694744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Pilcomayo</v>
          </cell>
          <cell r="J4">
            <v>-63.494</v>
          </cell>
        </row>
        <row r="5">
          <cell r="G5" t="str">
            <v>Bolivia</v>
          </cell>
          <cell r="J5">
            <v>-21.284999999999997</v>
          </cell>
        </row>
        <row r="7">
          <cell r="D7">
            <v>43923</v>
          </cell>
        </row>
        <row r="8">
          <cell r="D8">
            <v>415.13592278007172</v>
          </cell>
          <cell r="H8" t="str">
            <v>2</v>
          </cell>
        </row>
        <row r="9">
          <cell r="D9">
            <v>2.489528757623924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Apure</v>
          </cell>
          <cell r="J4">
            <v>-67.454000000000008</v>
          </cell>
        </row>
        <row r="5">
          <cell r="G5" t="str">
            <v>Venezuela</v>
          </cell>
          <cell r="J5">
            <v>7.8739999999999997</v>
          </cell>
        </row>
        <row r="7">
          <cell r="D7">
            <v>43923</v>
          </cell>
        </row>
        <row r="8">
          <cell r="D8">
            <v>1049.3916120752988</v>
          </cell>
          <cell r="H8" t="str">
            <v>2</v>
          </cell>
        </row>
        <row r="9">
          <cell r="D9">
            <v>7.3685649054663926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Rio Acre</v>
          </cell>
          <cell r="J4">
            <v>-69.793999999999997</v>
          </cell>
        </row>
        <row r="5">
          <cell r="G5" t="str">
            <v>Brazil</v>
          </cell>
          <cell r="J5">
            <v>-10.935</v>
          </cell>
        </row>
        <row r="7">
          <cell r="D7">
            <v>43923</v>
          </cell>
        </row>
        <row r="8">
          <cell r="D8">
            <v>53.557718286812445</v>
          </cell>
          <cell r="H8" t="str">
            <v>2</v>
          </cell>
        </row>
        <row r="9">
          <cell r="D9">
            <v>12.999926436443371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/>
          <cell r="J4">
            <v>-64.213999999999999</v>
          </cell>
        </row>
        <row r="5">
          <cell r="G5" t="str">
            <v>Bolivia</v>
          </cell>
          <cell r="J5">
            <v>-16.155000000000001</v>
          </cell>
        </row>
        <row r="7">
          <cell r="D7">
            <v>43922</v>
          </cell>
        </row>
        <row r="8">
          <cell r="D8">
            <v>1430.0244448840349</v>
          </cell>
          <cell r="H8" t="str">
            <v>1</v>
          </cell>
        </row>
        <row r="9">
          <cell r="D9">
            <v>294.53960692671637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Mamore</v>
          </cell>
          <cell r="J4">
            <v>-64.754000000000005</v>
          </cell>
        </row>
        <row r="5">
          <cell r="G5" t="str">
            <v>Bolivia</v>
          </cell>
          <cell r="J5">
            <v>-15.795</v>
          </cell>
        </row>
        <row r="7">
          <cell r="D7">
            <v>43921</v>
          </cell>
        </row>
        <row r="8">
          <cell r="D8">
            <v>4731.1288054360912</v>
          </cell>
          <cell r="H8" t="str">
            <v>2</v>
          </cell>
        </row>
        <row r="9">
          <cell r="D9">
            <v>13.579084893014132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Pechora</v>
          </cell>
          <cell r="J4">
            <v>52.155000000000001</v>
          </cell>
        </row>
        <row r="5">
          <cell r="G5" t="str">
            <v>Russia</v>
          </cell>
          <cell r="J5">
            <v>65.474000000000004</v>
          </cell>
        </row>
        <row r="7">
          <cell r="D7">
            <v>43923</v>
          </cell>
        </row>
        <row r="8">
          <cell r="D8">
            <v>2336.6294266172363</v>
          </cell>
          <cell r="H8" t="str">
            <v>2</v>
          </cell>
        </row>
        <row r="9">
          <cell r="D9">
            <v>5.8419244939586772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Flinders</v>
          </cell>
          <cell r="J4">
            <v>140.80500000000001</v>
          </cell>
        </row>
        <row r="5">
          <cell r="G5" t="str">
            <v>Australia</v>
          </cell>
          <cell r="J5">
            <v>-19.395000000000003</v>
          </cell>
        </row>
        <row r="7">
          <cell r="D7">
            <v>43922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Red River</v>
          </cell>
          <cell r="J4">
            <v>-92.563999999999993</v>
          </cell>
        </row>
        <row r="5">
          <cell r="G5" t="str">
            <v>USA</v>
          </cell>
          <cell r="J5">
            <v>31.363999999999997</v>
          </cell>
        </row>
        <row r="7">
          <cell r="D7">
            <v>43923</v>
          </cell>
        </row>
        <row r="8">
          <cell r="D8">
            <v>1294.2803316396225</v>
          </cell>
          <cell r="H8" t="str">
            <v>2</v>
          </cell>
        </row>
        <row r="9">
          <cell r="D9">
            <v>4.9822922076882659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/>
          <cell r="J4">
            <v>-74.924000000000007</v>
          </cell>
        </row>
        <row r="5">
          <cell r="G5" t="str">
            <v>Colombia</v>
          </cell>
          <cell r="J5">
            <v>10.214</v>
          </cell>
        </row>
        <row r="7">
          <cell r="D7">
            <v>43922</v>
          </cell>
        </row>
        <row r="8">
          <cell r="D8">
            <v>4615.3224900245359</v>
          </cell>
          <cell r="H8" t="str">
            <v>2</v>
          </cell>
        </row>
        <row r="9">
          <cell r="D9">
            <v>31.601973909299009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/>
          <cell r="J4">
            <v>-75.373999999999995</v>
          </cell>
        </row>
        <row r="5">
          <cell r="G5" t="str">
            <v>Colombia</v>
          </cell>
          <cell r="J5">
            <v>10.034000000000001</v>
          </cell>
        </row>
        <row r="7">
          <cell r="D7">
            <v>43922</v>
          </cell>
        </row>
        <row r="8">
          <cell r="D8">
            <v>0.73054915474004511</v>
          </cell>
        </row>
        <row r="9">
          <cell r="D9">
            <v>5.1969303311351647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-75.373999999999995</v>
          </cell>
        </row>
        <row r="5">
          <cell r="G5" t="str">
            <v>Colombia</v>
          </cell>
          <cell r="J5">
            <v>2.7439999999999998</v>
          </cell>
        </row>
        <row r="7">
          <cell r="D7">
            <v>43923</v>
          </cell>
        </row>
        <row r="8">
          <cell r="D8">
            <v>282.61684283479087</v>
          </cell>
          <cell r="H8" t="str">
            <v>1</v>
          </cell>
        </row>
        <row r="9">
          <cell r="D9">
            <v>14.506322903793665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-74.653999999999996</v>
          </cell>
        </row>
        <row r="5">
          <cell r="G5" t="str">
            <v>Colombia</v>
          </cell>
          <cell r="J5">
            <v>5.5339999999999998</v>
          </cell>
        </row>
        <row r="7">
          <cell r="D7">
            <v>43923</v>
          </cell>
        </row>
        <row r="8">
          <cell r="D8">
            <v>1680.110029743038</v>
          </cell>
          <cell r="H8" t="str">
            <v>2</v>
          </cell>
        </row>
        <row r="9">
          <cell r="D9">
            <v>15.668611127827795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-73.754000000000005</v>
          </cell>
        </row>
        <row r="5">
          <cell r="G5" t="str">
            <v>Colombia</v>
          </cell>
          <cell r="J5">
            <v>8.234</v>
          </cell>
        </row>
        <row r="7">
          <cell r="D7">
            <v>43922</v>
          </cell>
        </row>
        <row r="8">
          <cell r="D8">
            <v>4163.6547969888179</v>
          </cell>
          <cell r="H8" t="str">
            <v>2</v>
          </cell>
        </row>
        <row r="9">
          <cell r="D9">
            <v>20.045039963416556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Cauca</v>
          </cell>
          <cell r="J4">
            <v>-75.644000000000005</v>
          </cell>
        </row>
        <row r="5">
          <cell r="G5" t="str">
            <v>Colombia</v>
          </cell>
          <cell r="J5">
            <v>5.8040000000000003</v>
          </cell>
        </row>
        <row r="7">
          <cell r="D7">
            <v>43923</v>
          </cell>
        </row>
        <row r="8">
          <cell r="D8">
            <v>1129.1133723410492</v>
          </cell>
          <cell r="H8" t="str">
            <v>2</v>
          </cell>
        </row>
        <row r="9">
          <cell r="D9">
            <v>22.142519497569751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Cauca</v>
          </cell>
          <cell r="J4">
            <v>-74.563999999999993</v>
          </cell>
        </row>
        <row r="5">
          <cell r="G5" t="str">
            <v>Colombia</v>
          </cell>
          <cell r="J5">
            <v>8.5939999999999994</v>
          </cell>
        </row>
        <row r="7">
          <cell r="D7">
            <v>43922</v>
          </cell>
        </row>
        <row r="8">
          <cell r="D8">
            <v>2145.346472197089</v>
          </cell>
          <cell r="H8" t="str">
            <v>2</v>
          </cell>
        </row>
        <row r="9">
          <cell r="D9">
            <v>22.101465896234224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-74.204000000000008</v>
          </cell>
        </row>
        <row r="5">
          <cell r="G5" t="str">
            <v>Colombia</v>
          </cell>
          <cell r="J5">
            <v>6.7940000000000005</v>
          </cell>
        </row>
        <row r="7">
          <cell r="D7">
            <v>43923</v>
          </cell>
        </row>
        <row r="8">
          <cell r="D8">
            <v>60.160681327326067</v>
          </cell>
          <cell r="H8" t="str">
            <v>2</v>
          </cell>
        </row>
        <row r="9">
          <cell r="D9">
            <v>4.5148912489445303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-74.293999999999997</v>
          </cell>
        </row>
        <row r="5">
          <cell r="G5" t="str">
            <v>Colombia</v>
          </cell>
          <cell r="J5">
            <v>6.7039999999999997</v>
          </cell>
        </row>
        <row r="7">
          <cell r="D7">
            <v>43923</v>
          </cell>
        </row>
        <row r="8">
          <cell r="D8">
            <v>132.70082430069186</v>
          </cell>
          <cell r="H8" t="str">
            <v>2</v>
          </cell>
        </row>
        <row r="9">
          <cell r="D9" t="e">
            <v>#N/A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Flinders</v>
          </cell>
          <cell r="J4">
            <v>141.16500000000002</v>
          </cell>
        </row>
        <row r="5">
          <cell r="G5" t="str">
            <v>Australia</v>
          </cell>
          <cell r="J5">
            <v>-20.204999999999998</v>
          </cell>
        </row>
        <row r="7">
          <cell r="D7">
            <v>43922</v>
          </cell>
        </row>
        <row r="8">
          <cell r="D8">
            <v>38.87197105563871</v>
          </cell>
          <cell r="H8" t="str">
            <v>2</v>
          </cell>
        </row>
        <row r="9">
          <cell r="D9">
            <v>1.1318808871122774</v>
          </cell>
          <cell r="H9">
            <v>0.76935472524386839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-74.204000000000008</v>
          </cell>
        </row>
        <row r="5">
          <cell r="G5" t="str">
            <v>Colombia</v>
          </cell>
          <cell r="J5">
            <v>6.7039999999999997</v>
          </cell>
        </row>
        <row r="7">
          <cell r="D7">
            <v>43923</v>
          </cell>
        </row>
        <row r="8">
          <cell r="D8">
            <v>208.52997285056449</v>
          </cell>
          <cell r="H8" t="str">
            <v>2</v>
          </cell>
        </row>
        <row r="9">
          <cell r="D9">
            <v>23.641479515044669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-74.384</v>
          </cell>
        </row>
        <row r="5">
          <cell r="G5" t="str">
            <v>Colombia</v>
          </cell>
          <cell r="J5">
            <v>6.6139999999999999</v>
          </cell>
        </row>
        <row r="7">
          <cell r="D7">
            <v>43923</v>
          </cell>
        </row>
        <row r="8">
          <cell r="D8">
            <v>31.835826496799768</v>
          </cell>
          <cell r="H8" t="str">
            <v>2</v>
          </cell>
        </row>
        <row r="9">
          <cell r="D9">
            <v>2.4203466220953489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-73.843999999999994</v>
          </cell>
        </row>
        <row r="5">
          <cell r="G5" t="str">
            <v>Colombia</v>
          </cell>
          <cell r="J5">
            <v>8.9540000000000006</v>
          </cell>
        </row>
        <row r="7">
          <cell r="D7">
            <v>43922</v>
          </cell>
        </row>
        <row r="8">
          <cell r="D8">
            <v>773.27857400692756</v>
          </cell>
          <cell r="H8" t="str">
            <v>2</v>
          </cell>
        </row>
        <row r="9">
          <cell r="D9">
            <v>96.522309968275238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-73.754000000000005</v>
          </cell>
        </row>
        <row r="5">
          <cell r="G5" t="str">
            <v>Colombia</v>
          </cell>
          <cell r="J5">
            <v>8.9540000000000006</v>
          </cell>
        </row>
        <row r="7">
          <cell r="D7">
            <v>43922</v>
          </cell>
        </row>
        <row r="8">
          <cell r="D8">
            <v>443.42460063082342</v>
          </cell>
          <cell r="H8" t="str">
            <v>2</v>
          </cell>
        </row>
        <row r="9">
          <cell r="D9">
            <v>58.705662140240484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-73.933999999999997</v>
          </cell>
        </row>
        <row r="5">
          <cell r="G5" t="str">
            <v>Colombia</v>
          </cell>
          <cell r="J5">
            <v>9.0440000000000005</v>
          </cell>
        </row>
        <row r="7">
          <cell r="D7">
            <v>43922</v>
          </cell>
        </row>
        <row r="8">
          <cell r="D8">
            <v>751.63970689223652</v>
          </cell>
          <cell r="H8" t="str">
            <v>1</v>
          </cell>
        </row>
        <row r="9">
          <cell r="D9">
            <v>91.777090895033766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-73.843999999999994</v>
          </cell>
        </row>
        <row r="5">
          <cell r="G5" t="str">
            <v>Colombia</v>
          </cell>
          <cell r="J5">
            <v>9.0440000000000005</v>
          </cell>
        </row>
        <row r="7">
          <cell r="D7">
            <v>43922</v>
          </cell>
        </row>
        <row r="8">
          <cell r="D8">
            <v>972.35490872777677</v>
          </cell>
          <cell r="H8" t="str">
            <v>2</v>
          </cell>
        </row>
        <row r="9">
          <cell r="D9">
            <v>121.71420850282084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Near Cienega Barbacoas</v>
          </cell>
          <cell r="J4">
            <v>-74.293999999999997</v>
          </cell>
        </row>
        <row r="5">
          <cell r="G5" t="str">
            <v>Colombia</v>
          </cell>
          <cell r="J5">
            <v>6.7940000000000005</v>
          </cell>
        </row>
        <row r="7">
          <cell r="D7">
            <v>43923</v>
          </cell>
        </row>
        <row r="8">
          <cell r="D8">
            <v>0.95798146157557862</v>
          </cell>
        </row>
        <row r="9">
          <cell r="D9">
            <v>0</v>
          </cell>
          <cell r="H9"/>
        </row>
      </sheetData>
      <sheetData sheetId="2"/>
      <sheetData sheetId="3"/>
      <sheetData sheetId="4"/>
      <sheetData sheetId="5"/>
    </sheetDataSet>
  </externalBook>
</externalLink>
</file>

<file path=xl/externalLinks/externalLink3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White Nile</v>
          </cell>
          <cell r="J4">
            <v>31.634999999999998</v>
          </cell>
        </row>
        <row r="5">
          <cell r="G5" t="str">
            <v>Sudan</v>
          </cell>
          <cell r="J5">
            <v>9.5839999999999996</v>
          </cell>
        </row>
        <row r="7">
          <cell r="D7">
            <v>43921</v>
          </cell>
        </row>
        <row r="8">
          <cell r="D8">
            <v>380.24273660720939</v>
          </cell>
          <cell r="H8" t="str">
            <v>2</v>
          </cell>
        </row>
        <row r="9">
          <cell r="D9">
            <v>22.140203625973513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Wabash River</v>
          </cell>
          <cell r="J4">
            <v>-87.884</v>
          </cell>
        </row>
        <row r="5">
          <cell r="G5" t="str">
            <v>USA</v>
          </cell>
          <cell r="J5">
            <v>38.293999999999997</v>
          </cell>
        </row>
        <row r="7">
          <cell r="D7">
            <v>43922</v>
          </cell>
        </row>
        <row r="8">
          <cell r="D8">
            <v>2835.5116567849982</v>
          </cell>
          <cell r="H8" t="e">
            <v>#N/A</v>
          </cell>
        </row>
        <row r="9">
          <cell r="D9" t="e">
            <v>#N/A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Leichart</v>
          </cell>
          <cell r="J4">
            <v>139.905</v>
          </cell>
        </row>
        <row r="5">
          <cell r="G5" t="str">
            <v>Australia</v>
          </cell>
          <cell r="J5">
            <v>-18.225000000000001</v>
          </cell>
        </row>
        <row r="7">
          <cell r="D7">
            <v>43922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Leichart</v>
          </cell>
          <cell r="J4">
            <v>139.815</v>
          </cell>
        </row>
        <row r="5">
          <cell r="G5" t="str">
            <v>Australia</v>
          </cell>
          <cell r="J5">
            <v>-18.765000000000001</v>
          </cell>
        </row>
        <row r="7">
          <cell r="D7">
            <v>43922</v>
          </cell>
        </row>
        <row r="8">
          <cell r="D8">
            <v>0</v>
          </cell>
          <cell r="H8" t="str">
            <v>2</v>
          </cell>
        </row>
        <row r="9">
          <cell r="H9">
            <v>0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-74.293999999999997</v>
          </cell>
        </row>
        <row r="5">
          <cell r="G5" t="str">
            <v>Colombia</v>
          </cell>
          <cell r="J5">
            <v>6.6139999999999999</v>
          </cell>
        </row>
        <row r="7">
          <cell r="D7">
            <v>43923</v>
          </cell>
        </row>
        <row r="8">
          <cell r="D8">
            <v>2575.7628448465862</v>
          </cell>
          <cell r="H8" t="str">
            <v>2</v>
          </cell>
        </row>
        <row r="9">
          <cell r="D9">
            <v>20.331888147137771</v>
          </cell>
          <cell r="H9">
            <v>0.9498455494803526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Georgina</v>
          </cell>
          <cell r="J4">
            <v>139.815</v>
          </cell>
        </row>
        <row r="5">
          <cell r="G5" t="str">
            <v>Australia</v>
          </cell>
          <cell r="J5">
            <v>-23.625</v>
          </cell>
        </row>
        <row r="7">
          <cell r="D7">
            <v>43922</v>
          </cell>
        </row>
        <row r="8">
          <cell r="D8">
            <v>37.568871082040026</v>
          </cell>
          <cell r="H8" t="str">
            <v>2</v>
          </cell>
        </row>
        <row r="9">
          <cell r="D9">
            <v>0.14517844892133525</v>
          </cell>
          <cell r="H9">
            <v>0.55102264512840227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Diamantina</v>
          </cell>
          <cell r="J4">
            <v>141.07499999999999</v>
          </cell>
        </row>
        <row r="5">
          <cell r="G5" t="str">
            <v>Australia</v>
          </cell>
          <cell r="J5">
            <v>-23.805</v>
          </cell>
        </row>
        <row r="7">
          <cell r="D7">
            <v>43922</v>
          </cell>
        </row>
        <row r="8">
          <cell r="D8">
            <v>31.174065186383309</v>
          </cell>
          <cell r="H8" t="str">
            <v>2</v>
          </cell>
        </row>
        <row r="9">
          <cell r="D9">
            <v>0.50258008334442428</v>
          </cell>
          <cell r="H9">
            <v>0.67666283672221372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Thomson</v>
          </cell>
          <cell r="J4">
            <v>143.77499999999998</v>
          </cell>
        </row>
        <row r="5">
          <cell r="G5" t="str">
            <v>Australia</v>
          </cell>
          <cell r="J5">
            <v>-23.805</v>
          </cell>
        </row>
        <row r="7">
          <cell r="D7">
            <v>43922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J4">
            <v>-42.614000000000004</v>
          </cell>
        </row>
        <row r="5">
          <cell r="G5" t="str">
            <v>Brazil</v>
          </cell>
          <cell r="J5">
            <v>-10.574999999999999</v>
          </cell>
        </row>
        <row r="7">
          <cell r="D7">
            <v>43921</v>
          </cell>
        </row>
        <row r="8">
          <cell r="D8">
            <v>20866.978848010367</v>
          </cell>
          <cell r="H8" t="str">
            <v>4</v>
          </cell>
        </row>
        <row r="9">
          <cell r="D9">
            <v>34.55156837685378</v>
          </cell>
          <cell r="H9">
            <v>3.8036538152347794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Cooper</v>
          </cell>
          <cell r="J4">
            <v>142.69499999999999</v>
          </cell>
        </row>
        <row r="5">
          <cell r="G5" t="str">
            <v>Australia</v>
          </cell>
          <cell r="J5">
            <v>-25.604999999999997</v>
          </cell>
        </row>
        <row r="7">
          <cell r="D7">
            <v>43922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Chindwin</v>
          </cell>
          <cell r="J4">
            <v>94.814999999999998</v>
          </cell>
        </row>
        <row r="5">
          <cell r="G5" t="str">
            <v>Myanmar</v>
          </cell>
          <cell r="J5">
            <v>24.253999999999998</v>
          </cell>
        </row>
        <row r="7">
          <cell r="D7">
            <v>43922</v>
          </cell>
        </row>
        <row r="8">
          <cell r="D8">
            <v>1346.5945182022515</v>
          </cell>
          <cell r="H8" t="str">
            <v>2</v>
          </cell>
        </row>
        <row r="9">
          <cell r="D9">
            <v>11.512236102276772</v>
          </cell>
          <cell r="H9">
            <v>1.0121810725353995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Logone</v>
          </cell>
          <cell r="J4">
            <v>15.795</v>
          </cell>
        </row>
        <row r="5">
          <cell r="G5" t="str">
            <v>Chad</v>
          </cell>
          <cell r="J5">
            <v>9.8539999999999992</v>
          </cell>
        </row>
        <row r="7">
          <cell r="D7">
            <v>43923</v>
          </cell>
        </row>
        <row r="8">
          <cell r="D8">
            <v>272.94307379996553</v>
          </cell>
          <cell r="H8" t="str">
            <v>2</v>
          </cell>
        </row>
        <row r="9">
          <cell r="D9">
            <v>2.3956205822448062</v>
          </cell>
          <cell r="H9">
            <v>0.98984918210080186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Chari</v>
          </cell>
          <cell r="J4">
            <v>18.225000000000001</v>
          </cell>
        </row>
        <row r="5">
          <cell r="G5" t="str">
            <v>Chad</v>
          </cell>
          <cell r="J5">
            <v>9.2240000000000002</v>
          </cell>
        </row>
        <row r="7">
          <cell r="D7">
            <v>43923</v>
          </cell>
        </row>
        <row r="8">
          <cell r="D8">
            <v>292.01579076366511</v>
          </cell>
          <cell r="H8" t="str">
            <v>2</v>
          </cell>
        </row>
        <row r="9">
          <cell r="D9">
            <v>1.8851992087810407</v>
          </cell>
          <cell r="H9">
            <v>0.79376188718734919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</v>
          </cell>
          <cell r="J4">
            <v>115.785</v>
          </cell>
        </row>
        <row r="5">
          <cell r="G5" t="str">
            <v>China</v>
          </cell>
          <cell r="J5">
            <v>28.393999999999998</v>
          </cell>
        </row>
        <row r="7">
          <cell r="D7">
            <v>43922</v>
          </cell>
        </row>
        <row r="8">
          <cell r="D8">
            <v>2725.6188657963662</v>
          </cell>
          <cell r="H8" t="str">
            <v>2</v>
          </cell>
        </row>
        <row r="9">
          <cell r="D9">
            <v>18.27153544365672</v>
          </cell>
          <cell r="H9">
            <v>0.97920403970028858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Poyang</v>
          </cell>
          <cell r="J4">
            <v>116.145</v>
          </cell>
        </row>
        <row r="5">
          <cell r="G5" t="str">
            <v>China</v>
          </cell>
          <cell r="J5">
            <v>29.564</v>
          </cell>
        </row>
        <row r="7">
          <cell r="D7">
            <v>43854</v>
          </cell>
        </row>
        <row r="8">
          <cell r="D8">
            <v>0.86455889198099334</v>
          </cell>
        </row>
        <row r="9">
          <cell r="D9">
            <v>0</v>
          </cell>
          <cell r="H9" t="str">
            <v>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Ju</v>
          </cell>
          <cell r="J4">
            <v>114.795</v>
          </cell>
        </row>
        <row r="5">
          <cell r="G5" t="str">
            <v>China</v>
          </cell>
          <cell r="J5">
            <v>30.823999999999998</v>
          </cell>
        </row>
        <row r="7">
          <cell r="D7">
            <v>43921</v>
          </cell>
        </row>
        <row r="8">
          <cell r="D8">
            <v>125.9112466362309</v>
          </cell>
          <cell r="H8" t="str">
            <v>2</v>
          </cell>
        </row>
        <row r="9">
          <cell r="D9">
            <v>26.604344612915778</v>
          </cell>
          <cell r="H9">
            <v>0.94543822983312464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Yangtze</v>
          </cell>
          <cell r="J4">
            <v>112.63500000000001</v>
          </cell>
        </row>
        <row r="5">
          <cell r="G5" t="str">
            <v>China</v>
          </cell>
          <cell r="J5">
            <v>29.744</v>
          </cell>
        </row>
        <row r="7">
          <cell r="D7">
            <v>43921</v>
          </cell>
        </row>
        <row r="8">
          <cell r="H8" t="str">
            <v>1</v>
          </cell>
        </row>
        <row r="9">
          <cell r="D9">
            <v>456.6758403692977</v>
          </cell>
          <cell r="H9">
            <v>0.77468515990662223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Magdalena</v>
          </cell>
          <cell r="J4">
            <v>-73.933999999999997</v>
          </cell>
        </row>
        <row r="5">
          <cell r="G5" t="str">
            <v>Colombia</v>
          </cell>
          <cell r="J5">
            <v>8.9540000000000006</v>
          </cell>
        </row>
        <row r="7">
          <cell r="D7">
            <v>43922</v>
          </cell>
        </row>
        <row r="8">
          <cell r="D8">
            <v>4530.9972059858355</v>
          </cell>
          <cell r="H8" t="str">
            <v>2</v>
          </cell>
        </row>
        <row r="9">
          <cell r="D9">
            <v>16.815127901190714</v>
          </cell>
          <cell r="H9">
            <v>0.96696890196706831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Nechi</v>
          </cell>
          <cell r="J4">
            <v>-74.834000000000003</v>
          </cell>
        </row>
        <row r="5">
          <cell r="G5" t="str">
            <v>Colombia</v>
          </cell>
          <cell r="J5">
            <v>7.8740000000000006</v>
          </cell>
        </row>
        <row r="7">
          <cell r="D7">
            <v>43923</v>
          </cell>
        </row>
        <row r="8">
          <cell r="D8">
            <v>763.02682919527797</v>
          </cell>
          <cell r="H8" t="str">
            <v>2</v>
          </cell>
        </row>
        <row r="9">
          <cell r="D9">
            <v>31.157632116042169</v>
          </cell>
          <cell r="H9">
            <v>1.0566382371721681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Chindwin</v>
          </cell>
          <cell r="J4">
            <v>95.174999999999997</v>
          </cell>
        </row>
        <row r="5">
          <cell r="G5" t="str">
            <v>Myanmar</v>
          </cell>
          <cell r="J5">
            <v>22.003999999999998</v>
          </cell>
        </row>
        <row r="7">
          <cell r="D7">
            <v>43922</v>
          </cell>
        </row>
        <row r="8">
          <cell r="D8">
            <v>1569.0904819301604</v>
          </cell>
          <cell r="H8" t="str">
            <v>2</v>
          </cell>
        </row>
        <row r="9">
          <cell r="D9">
            <v>6.0142336790022544</v>
          </cell>
          <cell r="H9">
            <v>0.40275478289144573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Caratumbo</v>
          </cell>
          <cell r="J4">
            <v>-72.313999999999993</v>
          </cell>
        </row>
        <row r="5">
          <cell r="G5" t="str">
            <v>Venezuela</v>
          </cell>
          <cell r="J5">
            <v>9.0440000000000005</v>
          </cell>
        </row>
        <row r="7">
          <cell r="D7">
            <v>43923</v>
          </cell>
        </row>
        <row r="8">
          <cell r="D8">
            <v>212.49898710558639</v>
          </cell>
          <cell r="H8" t="str">
            <v>2</v>
          </cell>
        </row>
        <row r="9">
          <cell r="D9">
            <v>13.776653301007563</v>
          </cell>
          <cell r="H9">
            <v>0.88346931290860264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Orinoco</v>
          </cell>
          <cell r="J4">
            <v>-66.644000000000005</v>
          </cell>
        </row>
        <row r="5">
          <cell r="G5" t="str">
            <v>Venezuela</v>
          </cell>
          <cell r="J5">
            <v>7.3339999999999996</v>
          </cell>
        </row>
        <row r="7">
          <cell r="D7">
            <v>43923</v>
          </cell>
        </row>
        <row r="8">
          <cell r="D8">
            <v>8546.3548293691492</v>
          </cell>
          <cell r="H8" t="str">
            <v>1</v>
          </cell>
        </row>
        <row r="9">
          <cell r="D9">
            <v>9.1198288709322064</v>
          </cell>
          <cell r="H9">
            <v>0.72866792126381064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Apure</v>
          </cell>
          <cell r="J4">
            <v>-67.634</v>
          </cell>
        </row>
        <row r="5">
          <cell r="G5" t="str">
            <v>Venezuela</v>
          </cell>
          <cell r="J5">
            <v>7.9640000000000004</v>
          </cell>
        </row>
        <row r="7">
          <cell r="D7">
            <v>43923</v>
          </cell>
        </row>
        <row r="8">
          <cell r="D8">
            <v>1063.894037907995</v>
          </cell>
          <cell r="H8" t="str">
            <v>1</v>
          </cell>
        </row>
        <row r="9">
          <cell r="D9">
            <v>6.2715883426415626</v>
          </cell>
          <cell r="H9">
            <v>0.8775653256932483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Orinoco</v>
          </cell>
          <cell r="J4">
            <v>-62.143999999999998</v>
          </cell>
        </row>
        <row r="5">
          <cell r="G5" t="str">
            <v>Venezuela</v>
          </cell>
          <cell r="J5">
            <v>8.6839999999999993</v>
          </cell>
        </row>
        <row r="7">
          <cell r="D7">
            <v>43922</v>
          </cell>
        </row>
        <row r="8">
          <cell r="D8">
            <v>5072.8092135871229</v>
          </cell>
          <cell r="H8" t="str">
            <v>1</v>
          </cell>
        </row>
        <row r="9">
          <cell r="D9">
            <v>2.3478186962124337</v>
          </cell>
          <cell r="H9">
            <v>0.16135457367627287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Branco</v>
          </cell>
          <cell r="J4">
            <v>-61.783999999999999</v>
          </cell>
        </row>
        <row r="5">
          <cell r="G5" t="str">
            <v>Brazil</v>
          </cell>
          <cell r="J5">
            <v>0.22399999999999998</v>
          </cell>
        </row>
        <row r="7">
          <cell r="D7">
            <v>43922</v>
          </cell>
        </row>
        <row r="8">
          <cell r="D8">
            <v>4113.0775340083455</v>
          </cell>
          <cell r="H8" t="str">
            <v>2</v>
          </cell>
        </row>
        <row r="9">
          <cell r="D9">
            <v>8.3187823639065872</v>
          </cell>
          <cell r="H9">
            <v>0.87515630726748295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RioNegro</v>
          </cell>
          <cell r="J4">
            <v>-64.483999999999995</v>
          </cell>
        </row>
        <row r="5">
          <cell r="G5" t="str">
            <v>Brazil</v>
          </cell>
          <cell r="J5">
            <v>-0.40499999999999997</v>
          </cell>
        </row>
        <row r="7">
          <cell r="D7">
            <v>43922</v>
          </cell>
        </row>
        <row r="8">
          <cell r="D8">
            <v>17882.755477694049</v>
          </cell>
          <cell r="H8" t="str">
            <v>2</v>
          </cell>
        </row>
        <row r="9">
          <cell r="D9">
            <v>33.811367440756307</v>
          </cell>
          <cell r="H9">
            <v>1.1106808552703167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Amazon</v>
          </cell>
          <cell r="J4">
            <v>-67.364000000000004</v>
          </cell>
        </row>
        <row r="5">
          <cell r="G5" t="str">
            <v>Brazil</v>
          </cell>
          <cell r="J5">
            <v>-2.5649999999999999</v>
          </cell>
        </row>
        <row r="7">
          <cell r="D7">
            <v>43921</v>
          </cell>
        </row>
        <row r="8">
          <cell r="D8">
            <v>38061.979002206572</v>
          </cell>
          <cell r="H8" t="str">
            <v>1</v>
          </cell>
        </row>
        <row r="9">
          <cell r="D9">
            <v>20.247153504446118</v>
          </cell>
          <cell r="H9">
            <v>0.71744951260623513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Amazon</v>
          </cell>
          <cell r="J4">
            <v>-58.274000000000001</v>
          </cell>
        </row>
        <row r="5">
          <cell r="G5" t="str">
            <v>Brazil</v>
          </cell>
          <cell r="J5">
            <v>-3.1950000000000003</v>
          </cell>
        </row>
        <row r="7">
          <cell r="D7">
            <v>43922</v>
          </cell>
        </row>
        <row r="8">
          <cell r="D8">
            <v>194479.40859360874</v>
          </cell>
          <cell r="H8" t="str">
            <v>2</v>
          </cell>
        </row>
        <row r="9">
          <cell r="D9">
            <v>27.930735765842392</v>
          </cell>
          <cell r="H9">
            <v>1.2660014734621063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Amazon</v>
          </cell>
          <cell r="J4">
            <v>-55.304000000000002</v>
          </cell>
        </row>
        <row r="5">
          <cell r="G5" t="str">
            <v>Brazil</v>
          </cell>
          <cell r="J5">
            <v>-2.1150000000000002</v>
          </cell>
        </row>
        <row r="7">
          <cell r="D7">
            <v>43923</v>
          </cell>
        </row>
        <row r="8">
          <cell r="D8">
            <v>163512.74073392959</v>
          </cell>
          <cell r="H8" t="str">
            <v>2</v>
          </cell>
        </row>
        <row r="9">
          <cell r="D9">
            <v>27.991514266754837</v>
          </cell>
          <cell r="H9">
            <v>1.265830864840388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Amazon</v>
          </cell>
          <cell r="J4">
            <v>-54.043999999999997</v>
          </cell>
        </row>
        <row r="5">
          <cell r="G5" t="str">
            <v>Brazil</v>
          </cell>
          <cell r="J5">
            <v>-2.2050000000000001</v>
          </cell>
        </row>
        <row r="7">
          <cell r="D7">
            <v>43923</v>
          </cell>
        </row>
        <row r="8">
          <cell r="D8">
            <v>177319.93938491947</v>
          </cell>
          <cell r="H8" t="str">
            <v>2</v>
          </cell>
        </row>
        <row r="9">
          <cell r="D9">
            <v>20.330798403707597</v>
          </cell>
          <cell r="H9">
            <v>1.0018719041784168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Chindwin</v>
          </cell>
          <cell r="J4">
            <v>94.905000000000001</v>
          </cell>
        </row>
        <row r="5">
          <cell r="G5" t="str">
            <v>Myanmar</v>
          </cell>
          <cell r="J5">
            <v>24.793999999999997</v>
          </cell>
        </row>
        <row r="7">
          <cell r="D7">
            <v>43922</v>
          </cell>
        </row>
        <row r="8">
          <cell r="D8">
            <v>705.92423860678264</v>
          </cell>
          <cell r="H8" t="str">
            <v>1</v>
          </cell>
        </row>
        <row r="9">
          <cell r="D9">
            <v>6.1718369508535078</v>
          </cell>
          <cell r="H9">
            <v>0.44775411717640046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Sava</v>
          </cell>
          <cell r="J4">
            <v>20.024999999999999</v>
          </cell>
        </row>
        <row r="5">
          <cell r="G5" t="str">
            <v>Serbia</v>
          </cell>
          <cell r="J5">
            <v>44.683999999999997</v>
          </cell>
        </row>
        <row r="7">
          <cell r="D7">
            <v>43923</v>
          </cell>
        </row>
        <row r="8">
          <cell r="D8">
            <v>528.3111563907371</v>
          </cell>
          <cell r="H8" t="str">
            <v>1</v>
          </cell>
        </row>
        <row r="9">
          <cell r="D9">
            <v>69.450311494739339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Sava</v>
          </cell>
          <cell r="J4">
            <v>19.395000000000003</v>
          </cell>
        </row>
        <row r="5">
          <cell r="G5" t="str">
            <v>Serbia</v>
          </cell>
          <cell r="J5">
            <v>44.954000000000001</v>
          </cell>
        </row>
        <row r="7">
          <cell r="D7">
            <v>43923</v>
          </cell>
        </row>
        <row r="8">
          <cell r="D8">
            <v>1316.6593853794457</v>
          </cell>
          <cell r="H8" t="str">
            <v>1</v>
          </cell>
        </row>
        <row r="9">
          <cell r="D9">
            <v>187.2865315547694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Sava</v>
          </cell>
          <cell r="J4">
            <v>18.585000000000001</v>
          </cell>
        </row>
        <row r="5">
          <cell r="G5" t="str">
            <v>Croatia</v>
          </cell>
          <cell r="J5">
            <v>45.043999999999997</v>
          </cell>
        </row>
        <row r="7">
          <cell r="D7">
            <v>43923</v>
          </cell>
        </row>
        <row r="8">
          <cell r="D8">
            <v>2670.1560414314617</v>
          </cell>
          <cell r="H8" t="str">
            <v>1</v>
          </cell>
        </row>
        <row r="9">
          <cell r="D9">
            <v>346.19942767293099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Bosna</v>
          </cell>
          <cell r="J4">
            <v>18.225000000000001</v>
          </cell>
        </row>
        <row r="5">
          <cell r="G5" t="str">
            <v>Bosnia and Herzegovina</v>
          </cell>
          <cell r="J5">
            <v>44.954000000000001</v>
          </cell>
        </row>
        <row r="7">
          <cell r="D7">
            <v>43923</v>
          </cell>
        </row>
        <row r="8">
          <cell r="D8">
            <v>65.134785045228455</v>
          </cell>
          <cell r="H8" t="str">
            <v>1</v>
          </cell>
        </row>
        <row r="9">
          <cell r="D9">
            <v>24.715579131093637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Ganges</v>
          </cell>
          <cell r="J4">
            <v>88.064999999999998</v>
          </cell>
        </row>
        <row r="5">
          <cell r="G5" t="str">
            <v>India</v>
          </cell>
          <cell r="J5">
            <v>24.613999999999997</v>
          </cell>
        </row>
        <row r="7">
          <cell r="D7">
            <v>43923</v>
          </cell>
        </row>
        <row r="8">
          <cell r="D8">
            <v>8418.447325793255</v>
          </cell>
          <cell r="H8" t="str">
            <v>2</v>
          </cell>
        </row>
        <row r="9">
          <cell r="D9">
            <v>5.0874525380872662</v>
          </cell>
          <cell r="H9">
            <v>2.5151749886810033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Ganges</v>
          </cell>
          <cell r="J4">
            <v>86.174999999999997</v>
          </cell>
        </row>
        <row r="5">
          <cell r="G5" t="str">
            <v>India</v>
          </cell>
          <cell r="J5">
            <v>25.334000000000003</v>
          </cell>
        </row>
        <row r="7">
          <cell r="D7">
            <v>43923</v>
          </cell>
        </row>
        <row r="8">
          <cell r="D8">
            <v>6941.8194591100691</v>
          </cell>
          <cell r="H8" t="str">
            <v>2</v>
          </cell>
        </row>
        <row r="9">
          <cell r="D9">
            <v>3.4915122718388778</v>
          </cell>
          <cell r="H9">
            <v>2.1765288682707862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Gandak</v>
          </cell>
          <cell r="J4">
            <v>84.375</v>
          </cell>
        </row>
        <row r="5">
          <cell r="G5" t="str">
            <v>India</v>
          </cell>
          <cell r="J5">
            <v>26.774000000000001</v>
          </cell>
        </row>
        <row r="7">
          <cell r="D7">
            <v>43923</v>
          </cell>
        </row>
        <row r="8">
          <cell r="D8">
            <v>842.99116168019827</v>
          </cell>
          <cell r="H8" t="str">
            <v>2</v>
          </cell>
        </row>
        <row r="9">
          <cell r="D9">
            <v>11.344808568687334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Ghaghra</v>
          </cell>
          <cell r="J4">
            <v>81.765000000000001</v>
          </cell>
        </row>
        <row r="5">
          <cell r="G5" t="str">
            <v>India</v>
          </cell>
          <cell r="J5">
            <v>26.863999999999997</v>
          </cell>
        </row>
        <row r="7">
          <cell r="D7">
            <v>43923</v>
          </cell>
        </row>
        <row r="8">
          <cell r="D8">
            <v>1614.9465460029896</v>
          </cell>
          <cell r="H8" t="str">
            <v>2</v>
          </cell>
        </row>
        <row r="9">
          <cell r="D9">
            <v>8.9794953591568039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Ghaghra</v>
          </cell>
          <cell r="J4">
            <v>81.314999999999998</v>
          </cell>
        </row>
        <row r="5">
          <cell r="G5" t="str">
            <v>India</v>
          </cell>
          <cell r="J5">
            <v>27.494</v>
          </cell>
        </row>
        <row r="7">
          <cell r="D7">
            <v>43923</v>
          </cell>
        </row>
        <row r="8">
          <cell r="D8">
            <v>664.8020036497619</v>
          </cell>
          <cell r="H8" t="str">
            <v>2</v>
          </cell>
        </row>
        <row r="9">
          <cell r="D9">
            <v>7.4110857609109768</v>
          </cell>
          <cell r="H9">
            <v>20.916101861111223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Ghaghra</v>
          </cell>
          <cell r="J4">
            <v>82.394999999999996</v>
          </cell>
        </row>
        <row r="5">
          <cell r="G5" t="str">
            <v>India</v>
          </cell>
          <cell r="J5">
            <v>26.683999999999997</v>
          </cell>
        </row>
        <row r="7">
          <cell r="D7">
            <v>43856</v>
          </cell>
        </row>
        <row r="8">
          <cell r="D8">
            <v>1820.6081383647397</v>
          </cell>
          <cell r="H8" t="str">
            <v>2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Bassein River</v>
          </cell>
          <cell r="J4">
            <v>94.995000000000005</v>
          </cell>
        </row>
        <row r="5">
          <cell r="G5" t="str">
            <v>Myanmar</v>
          </cell>
          <cell r="J5">
            <v>17.323999999999998</v>
          </cell>
        </row>
        <row r="7">
          <cell r="D7">
            <v>43922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  <cell r="H9" t="e">
            <v>#DIV/0!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Ganges</v>
          </cell>
          <cell r="J4">
            <v>82.394999999999996</v>
          </cell>
        </row>
        <row r="5">
          <cell r="G5" t="str">
            <v>India</v>
          </cell>
          <cell r="J5">
            <v>25.244</v>
          </cell>
        </row>
        <row r="7">
          <cell r="D7">
            <v>43856</v>
          </cell>
        </row>
        <row r="8">
          <cell r="D8">
            <v>7997.2166268800502</v>
          </cell>
          <cell r="H8" t="str">
            <v>2</v>
          </cell>
        </row>
        <row r="9">
          <cell r="D9">
            <v>0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Ramganga</v>
          </cell>
          <cell r="J4">
            <v>78.075000000000003</v>
          </cell>
        </row>
        <row r="5">
          <cell r="G5" t="str">
            <v>India</v>
          </cell>
          <cell r="J5">
            <v>29.204000000000001</v>
          </cell>
        </row>
        <row r="7">
          <cell r="D7">
            <v>43923</v>
          </cell>
        </row>
        <row r="8">
          <cell r="D8">
            <v>933.94092358889031</v>
          </cell>
          <cell r="H8" t="str">
            <v>2</v>
          </cell>
        </row>
        <row r="9">
          <cell r="D9">
            <v>20.701756175814459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Ramganga</v>
          </cell>
          <cell r="J4">
            <v>79.515000000000001</v>
          </cell>
        </row>
        <row r="5">
          <cell r="G5" t="str">
            <v>India</v>
          </cell>
          <cell r="J5">
            <v>28.033999999999999</v>
          </cell>
        </row>
        <row r="7">
          <cell r="D7">
            <v>43923</v>
          </cell>
        </row>
        <row r="8">
          <cell r="D8">
            <v>62.719868931494659</v>
          </cell>
          <cell r="H8" t="str">
            <v>1</v>
          </cell>
        </row>
        <row r="9">
          <cell r="D9">
            <v>1.5692528554367955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Ganges</v>
          </cell>
          <cell r="J4">
            <v>77.085000000000008</v>
          </cell>
        </row>
        <row r="5">
          <cell r="G5" t="str">
            <v>India</v>
          </cell>
          <cell r="J5">
            <v>29.564</v>
          </cell>
        </row>
        <row r="7">
          <cell r="D7">
            <v>43923</v>
          </cell>
        </row>
        <row r="8">
          <cell r="D8">
            <v>871.51661462303946</v>
          </cell>
          <cell r="H8" t="str">
            <v>2</v>
          </cell>
        </row>
        <row r="9">
          <cell r="D9">
            <v>9.0773366707606176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TigrisTrib</v>
          </cell>
          <cell r="J4">
            <v>46.754999999999995</v>
          </cell>
        </row>
        <row r="5">
          <cell r="G5" t="str">
            <v>Iraq</v>
          </cell>
          <cell r="J5">
            <v>32.444000000000003</v>
          </cell>
        </row>
        <row r="7">
          <cell r="D7">
            <v>43922</v>
          </cell>
        </row>
        <row r="8">
          <cell r="D8">
            <v>4833.845516617821</v>
          </cell>
          <cell r="H8" t="str">
            <v>2</v>
          </cell>
        </row>
        <row r="9">
          <cell r="D9">
            <v>18.425933243083808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Tonle</v>
          </cell>
          <cell r="J4">
            <v>104.80500000000001</v>
          </cell>
        </row>
        <row r="5">
          <cell r="G5" t="str">
            <v>Cambodia</v>
          </cell>
          <cell r="J5">
            <v>12.103999999999999</v>
          </cell>
        </row>
        <row r="7">
          <cell r="D7">
            <v>43922</v>
          </cell>
        </row>
        <row r="8">
          <cell r="D8">
            <v>803.88115730900654</v>
          </cell>
          <cell r="H8" t="str">
            <v>2</v>
          </cell>
        </row>
        <row r="9">
          <cell r="D9">
            <v>5.7872953252704917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Mekong</v>
          </cell>
          <cell r="J4">
            <v>104.80500000000001</v>
          </cell>
        </row>
        <row r="5">
          <cell r="G5" t="str">
            <v>Laos</v>
          </cell>
          <cell r="J5">
            <v>17.323999999999998</v>
          </cell>
        </row>
        <row r="7">
          <cell r="D7">
            <v>43922</v>
          </cell>
        </row>
        <row r="8">
          <cell r="D8">
            <v>2626.3919022656046</v>
          </cell>
          <cell r="H8" t="str">
            <v>2</v>
          </cell>
        </row>
        <row r="9">
          <cell r="D9">
            <v>9.0885290693280059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Nam Ngum</v>
          </cell>
          <cell r="J4">
            <v>102.55500000000001</v>
          </cell>
        </row>
        <row r="5">
          <cell r="G5" t="str">
            <v>Laos</v>
          </cell>
          <cell r="J5">
            <v>18.314</v>
          </cell>
        </row>
        <row r="7">
          <cell r="D7">
            <v>43923</v>
          </cell>
        </row>
        <row r="8">
          <cell r="D8">
            <v>259.73074838874891</v>
          </cell>
          <cell r="H8" t="str">
            <v>2</v>
          </cell>
        </row>
        <row r="9">
          <cell r="D9">
            <v>14.471766254734797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Chao Praya</v>
          </cell>
          <cell r="J4">
            <v>100.30500000000001</v>
          </cell>
        </row>
        <row r="5">
          <cell r="G5" t="str">
            <v>Thailand</v>
          </cell>
          <cell r="J5">
            <v>15.974</v>
          </cell>
        </row>
        <row r="7">
          <cell r="D7">
            <v>43923</v>
          </cell>
        </row>
        <row r="8">
          <cell r="D8">
            <v>124.04020211807801</v>
          </cell>
          <cell r="H8" t="str">
            <v>1</v>
          </cell>
        </row>
        <row r="9">
          <cell r="D9">
            <v>1.3161526507061856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Chao Praya</v>
          </cell>
          <cell r="J4">
            <v>100.125</v>
          </cell>
        </row>
        <row r="5">
          <cell r="G5" t="str">
            <v>Thailand</v>
          </cell>
          <cell r="J5">
            <v>15.523999999999999</v>
          </cell>
        </row>
        <row r="7">
          <cell r="D7">
            <v>43923</v>
          </cell>
        </row>
        <row r="8">
          <cell r="D8">
            <v>148.87551382000674</v>
          </cell>
          <cell r="H8" t="str">
            <v>1</v>
          </cell>
        </row>
        <row r="9">
          <cell r="D9">
            <v>0.30177497858296054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Irrawaddy</v>
          </cell>
          <cell r="J4">
            <v>96.614999999999995</v>
          </cell>
        </row>
        <row r="5">
          <cell r="G5" t="str">
            <v>Myanmar</v>
          </cell>
          <cell r="J5">
            <v>24.344000000000001</v>
          </cell>
        </row>
        <row r="7">
          <cell r="D7">
            <v>43922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  <cell r="H9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Shire</v>
          </cell>
          <cell r="J4">
            <v>34.965000000000003</v>
          </cell>
        </row>
        <row r="5">
          <cell r="G5" t="str">
            <v>Zimbabwe</v>
          </cell>
          <cell r="J5">
            <v>-16.244999999999997</v>
          </cell>
        </row>
        <row r="7">
          <cell r="D7">
            <v>43923</v>
          </cell>
        </row>
        <row r="8">
          <cell r="D8">
            <v>3007.3749583133322</v>
          </cell>
          <cell r="H8" t="str">
            <v>2</v>
          </cell>
        </row>
        <row r="9">
          <cell r="D9">
            <v>11.100931309036753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34.335000000000001</v>
          </cell>
        </row>
        <row r="5">
          <cell r="G5" t="str">
            <v>Mozambique</v>
          </cell>
          <cell r="J5">
            <v>-16.695</v>
          </cell>
        </row>
        <row r="7">
          <cell r="D7">
            <v>43923</v>
          </cell>
        </row>
        <row r="8">
          <cell r="D8">
            <v>18296.306061482057</v>
          </cell>
          <cell r="H8" t="str">
            <v>3</v>
          </cell>
        </row>
        <row r="9">
          <cell r="D9">
            <v>8.7258726954574453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Shire</v>
          </cell>
          <cell r="J4">
            <v>35.325000000000003</v>
          </cell>
        </row>
        <row r="5">
          <cell r="G5" t="str">
            <v>Mozambique</v>
          </cell>
          <cell r="J5">
            <v>-17.234999999999999</v>
          </cell>
        </row>
        <row r="7">
          <cell r="D7">
            <v>43923</v>
          </cell>
        </row>
        <row r="8">
          <cell r="D8">
            <v>4505.7822394999966</v>
          </cell>
          <cell r="H8" t="str">
            <v>2</v>
          </cell>
        </row>
        <row r="9">
          <cell r="D9" t="e">
            <v>#N/A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35.504999999999995</v>
          </cell>
        </row>
        <row r="5">
          <cell r="G5" t="str">
            <v>Mozambique</v>
          </cell>
          <cell r="J5">
            <v>-17.954999999999998</v>
          </cell>
        </row>
        <row r="7">
          <cell r="D7">
            <v>43923</v>
          </cell>
        </row>
        <row r="8">
          <cell r="D8">
            <v>0</v>
          </cell>
          <cell r="H8" t="str">
            <v>1</v>
          </cell>
        </row>
        <row r="9">
          <cell r="D9">
            <v>0.2861012210111113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35.954999999999998</v>
          </cell>
        </row>
        <row r="5">
          <cell r="G5" t="str">
            <v>Mozambique</v>
          </cell>
          <cell r="J5">
            <v>-18.225000000000001</v>
          </cell>
        </row>
        <row r="8">
          <cell r="D8">
            <v>20618.18109800003</v>
          </cell>
          <cell r="H8" t="str">
            <v>2</v>
          </cell>
        </row>
        <row r="9">
          <cell r="D9">
            <v>9.4006756035738253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Pungue</v>
          </cell>
          <cell r="J4">
            <v>34.515000000000001</v>
          </cell>
        </row>
        <row r="5">
          <cell r="G5" t="str">
            <v>Mozambique</v>
          </cell>
          <cell r="J5">
            <v>-19.395000000000003</v>
          </cell>
        </row>
        <row r="7">
          <cell r="D7">
            <v>43923</v>
          </cell>
        </row>
        <row r="8">
          <cell r="D8">
            <v>514.80504244375834</v>
          </cell>
          <cell r="H8" t="str">
            <v>2</v>
          </cell>
        </row>
        <row r="9">
          <cell r="D9">
            <v>12.712697372372675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Luangwa</v>
          </cell>
          <cell r="J4">
            <v>30.375</v>
          </cell>
        </row>
        <row r="5">
          <cell r="G5" t="str">
            <v>Zambia</v>
          </cell>
          <cell r="J5">
            <v>-15.345000000000001</v>
          </cell>
        </row>
        <row r="8">
          <cell r="D8">
            <v>1925.7676963640843</v>
          </cell>
          <cell r="H8" t="str">
            <v>1</v>
          </cell>
        </row>
        <row r="9"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-0.22399999999999998</v>
          </cell>
        </row>
        <row r="5">
          <cell r="G5" t="str">
            <v>Mali</v>
          </cell>
          <cell r="J5">
            <v>16.603999999999999</v>
          </cell>
        </row>
        <row r="7">
          <cell r="D7">
            <v>43922</v>
          </cell>
        </row>
        <row r="8">
          <cell r="D8">
            <v>153.8435457716696</v>
          </cell>
          <cell r="H8" t="str">
            <v>1</v>
          </cell>
        </row>
        <row r="9">
          <cell r="D9">
            <v>0.16341443100111619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Niger</v>
          </cell>
          <cell r="J4">
            <v>-6.524</v>
          </cell>
        </row>
        <row r="5">
          <cell r="G5" t="str">
            <v>Mali</v>
          </cell>
          <cell r="J5">
            <v>13.364000000000001</v>
          </cell>
        </row>
        <row r="7">
          <cell r="D7">
            <v>43923</v>
          </cell>
        </row>
        <row r="8">
          <cell r="D8">
            <v>764.35881132500435</v>
          </cell>
          <cell r="H8" t="str">
            <v>2</v>
          </cell>
        </row>
        <row r="9">
          <cell r="D9">
            <v>3.6286813912702187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Milo</v>
          </cell>
          <cell r="J4">
            <v>-9.2240000000000002</v>
          </cell>
        </row>
        <row r="5">
          <cell r="G5" t="str">
            <v>Guinea</v>
          </cell>
          <cell r="J5">
            <v>10.664</v>
          </cell>
        </row>
        <row r="7">
          <cell r="D7">
            <v>43923</v>
          </cell>
        </row>
        <row r="8">
          <cell r="D8">
            <v>164.49823452271463</v>
          </cell>
          <cell r="H8" t="str">
            <v>2</v>
          </cell>
        </row>
        <row r="9">
          <cell r="D9">
            <v>7.5407045347171344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Irrawaddy</v>
          </cell>
          <cell r="J4">
            <v>96.075000000000003</v>
          </cell>
        </row>
        <row r="5">
          <cell r="G5" t="str">
            <v>Myanmar</v>
          </cell>
          <cell r="J5">
            <v>23.624000000000002</v>
          </cell>
        </row>
        <row r="7">
          <cell r="D7">
            <v>43922</v>
          </cell>
        </row>
        <row r="8">
          <cell r="D8">
            <v>1570.70349100866</v>
          </cell>
          <cell r="H8" t="str">
            <v>2</v>
          </cell>
        </row>
        <row r="9">
          <cell r="D9">
            <v>8.3844695472240218</v>
          </cell>
          <cell r="H9">
            <v>1.0838022851524771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4">
          <cell r="G4" t="str">
            <v>Chixoy</v>
          </cell>
          <cell r="J4">
            <v>-90.403999999999996</v>
          </cell>
        </row>
        <row r="5">
          <cell r="G5" t="str">
            <v>Guatemala</v>
          </cell>
          <cell r="J5">
            <v>16.154</v>
          </cell>
        </row>
        <row r="7">
          <cell r="D7">
            <v>43923</v>
          </cell>
        </row>
        <row r="8">
          <cell r="D8">
            <v>777.63723726316471</v>
          </cell>
          <cell r="H8" t="str">
            <v>2</v>
          </cell>
        </row>
        <row r="9">
          <cell r="D9">
            <v>54.746500525646297</v>
          </cell>
          <cell r="H9" t="e">
            <v>#N/A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Escondido</v>
          </cell>
          <cell r="J4">
            <v>-84.013999999999996</v>
          </cell>
        </row>
        <row r="5">
          <cell r="G5" t="str">
            <v>Nicaragua</v>
          </cell>
          <cell r="J5">
            <v>12.103999999999999</v>
          </cell>
        </row>
        <row r="7">
          <cell r="D7">
            <v>43923</v>
          </cell>
        </row>
        <row r="8">
          <cell r="D8">
            <v>377.2659136000002</v>
          </cell>
          <cell r="H8" t="str">
            <v>1</v>
          </cell>
        </row>
        <row r="9">
          <cell r="D9">
            <v>42.316907692608616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Chobe</v>
          </cell>
          <cell r="J4">
            <v>24.615000000000002</v>
          </cell>
        </row>
        <row r="5">
          <cell r="G5" t="str">
            <v>Namibia</v>
          </cell>
          <cell r="J5">
            <v>-18.045000000000002</v>
          </cell>
        </row>
        <row r="7">
          <cell r="D7">
            <v>43923</v>
          </cell>
        </row>
        <row r="8">
          <cell r="D8">
            <v>1472.9820576435259</v>
          </cell>
          <cell r="H8" t="str">
            <v>2</v>
          </cell>
        </row>
        <row r="9">
          <cell r="D9">
            <v>3.5044199490614991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23.265000000000001</v>
          </cell>
        </row>
        <row r="5">
          <cell r="G5" t="str">
            <v>Zambia</v>
          </cell>
          <cell r="J5">
            <v>-16.244999999999997</v>
          </cell>
        </row>
        <row r="7">
          <cell r="D7">
            <v>43923</v>
          </cell>
        </row>
        <row r="8">
          <cell r="D8">
            <v>9845.1117221555178</v>
          </cell>
          <cell r="H8" t="str">
            <v>2</v>
          </cell>
        </row>
        <row r="9">
          <cell r="D9">
            <v>21.094702511295974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Zambezi</v>
          </cell>
          <cell r="J4">
            <v>22.994999999999997</v>
          </cell>
        </row>
        <row r="5">
          <cell r="G5" t="str">
            <v>Zambia</v>
          </cell>
          <cell r="J5">
            <v>-15.345000000000001</v>
          </cell>
        </row>
        <row r="7">
          <cell r="D7">
            <v>43923</v>
          </cell>
        </row>
        <row r="8">
          <cell r="D8">
            <v>9274.782241255034</v>
          </cell>
          <cell r="H8" t="str">
            <v>2</v>
          </cell>
        </row>
        <row r="9">
          <cell r="D9">
            <v>20.84564654743162</v>
          </cell>
          <cell r="H9">
            <v>1.1464531394370823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Okavango</v>
          </cell>
          <cell r="J4">
            <v>20.744999999999997</v>
          </cell>
        </row>
        <row r="5">
          <cell r="G5" t="str">
            <v>Angola</v>
          </cell>
          <cell r="J5">
            <v>-18.045000000000002</v>
          </cell>
        </row>
        <row r="7">
          <cell r="D7">
            <v>43923</v>
          </cell>
        </row>
        <row r="8">
          <cell r="D8">
            <v>556.13851728889131</v>
          </cell>
          <cell r="H8" t="str">
            <v>1</v>
          </cell>
        </row>
        <row r="9">
          <cell r="D9">
            <v>155.03396569015348</v>
          </cell>
          <cell r="H9">
            <v>1.0060706768904748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Okavango</v>
          </cell>
          <cell r="J4">
            <v>22.274999999999999</v>
          </cell>
        </row>
        <row r="5">
          <cell r="G5" t="str">
            <v>Botswana</v>
          </cell>
          <cell r="J5">
            <v>-18.765000000000001</v>
          </cell>
        </row>
        <row r="7">
          <cell r="D7">
            <v>43923</v>
          </cell>
        </row>
        <row r="8">
          <cell r="D8">
            <v>1822.2877488304118</v>
          </cell>
          <cell r="H8" t="str">
            <v>2</v>
          </cell>
        </row>
        <row r="9">
          <cell r="D9">
            <v>4.4165789452372168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Chenab</v>
          </cell>
          <cell r="J4">
            <v>72.495000000000005</v>
          </cell>
        </row>
        <row r="5">
          <cell r="G5" t="str">
            <v>Pakistan</v>
          </cell>
          <cell r="J5">
            <v>31.543999999999997</v>
          </cell>
        </row>
        <row r="7">
          <cell r="D7">
            <v>43922</v>
          </cell>
        </row>
        <row r="8">
          <cell r="D8">
            <v>688.22607006857208</v>
          </cell>
          <cell r="H8" t="str">
            <v>2</v>
          </cell>
        </row>
        <row r="9">
          <cell r="D9">
            <v>6.2508431266050115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Jhelum</v>
          </cell>
          <cell r="J4">
            <v>72.224999999999994</v>
          </cell>
        </row>
        <row r="5">
          <cell r="G5" t="str">
            <v>Pakistan</v>
          </cell>
          <cell r="J5">
            <v>31.904</v>
          </cell>
        </row>
        <row r="7">
          <cell r="D7">
            <v>43922</v>
          </cell>
        </row>
        <row r="8">
          <cell r="D8">
            <v>303.06590205391592</v>
          </cell>
          <cell r="H8" t="str">
            <v>1</v>
          </cell>
        </row>
        <row r="9">
          <cell r="D9">
            <v>3.7478554696677584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4">
          <cell r="G4" t="str">
            <v>Chenab</v>
          </cell>
          <cell r="J4">
            <v>73.575000000000003</v>
          </cell>
        </row>
        <row r="5">
          <cell r="G5" t="str">
            <v>Pakistan</v>
          </cell>
          <cell r="J5">
            <v>32.263999999999996</v>
          </cell>
        </row>
        <row r="7">
          <cell r="D7">
            <v>43922</v>
          </cell>
        </row>
        <row r="8">
          <cell r="D8">
            <v>812.51997066948297</v>
          </cell>
          <cell r="H8" t="str">
            <v>2</v>
          </cell>
        </row>
        <row r="9">
          <cell r="D9">
            <v>8.3761976476527487</v>
          </cell>
          <cell r="H9" t="e">
            <v>#N/A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loodobservatory.colorado.edu/SiteDisplays/25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346"/>
  <sheetViews>
    <sheetView tabSelected="1" topLeftCell="A6" zoomScaleNormal="100" workbookViewId="0">
      <selection activeCell="E25" sqref="E25"/>
    </sheetView>
  </sheetViews>
  <sheetFormatPr defaultColWidth="8.85546875" defaultRowHeight="12.75" x14ac:dyDescent="0.2"/>
  <cols>
    <col min="2" max="2" width="3.7109375" style="1" customWidth="1"/>
    <col min="3" max="3" width="10" style="2" customWidth="1"/>
    <col min="4" max="4" width="11.85546875" style="2" customWidth="1"/>
    <col min="5" max="5" width="9.42578125" style="1" customWidth="1"/>
    <col min="6" max="6" width="21.42578125" style="1" customWidth="1"/>
    <col min="7" max="7" width="16.42578125" style="1" customWidth="1"/>
    <col min="8" max="8" width="7.85546875" style="1" customWidth="1"/>
    <col min="9" max="9" width="7" customWidth="1"/>
    <col min="10" max="10" width="12.7109375" style="1" customWidth="1"/>
    <col min="11" max="11" width="7.85546875" style="17" customWidth="1"/>
    <col min="12" max="13" width="12.42578125" style="9" customWidth="1"/>
    <col min="14" max="14" width="9.85546875" customWidth="1"/>
    <col min="15" max="15" width="9.7109375" customWidth="1"/>
    <col min="16" max="16" width="10.140625" customWidth="1"/>
    <col min="17" max="17" width="9.7109375" customWidth="1"/>
    <col min="18" max="18" width="10.7109375" customWidth="1"/>
    <col min="19" max="19" width="12.42578125" customWidth="1"/>
    <col min="20" max="20" width="10" customWidth="1"/>
    <col min="21" max="21" width="10.140625" customWidth="1"/>
    <col min="22" max="22" width="9.7109375" customWidth="1"/>
    <col min="23" max="23" width="9.85546875" customWidth="1"/>
  </cols>
  <sheetData>
    <row r="1" spans="1:23" x14ac:dyDescent="0.2">
      <c r="B1" s="12"/>
      <c r="C1" s="13"/>
      <c r="D1" s="13"/>
      <c r="E1" s="12"/>
      <c r="F1" s="12"/>
      <c r="G1" s="12"/>
      <c r="H1" s="12"/>
      <c r="I1" s="3"/>
      <c r="J1" s="12"/>
      <c r="K1" s="16"/>
      <c r="L1" s="6"/>
      <c r="M1" s="6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">
      <c r="A2" s="14" t="s">
        <v>17</v>
      </c>
      <c r="B2"/>
      <c r="C2"/>
      <c r="D2"/>
      <c r="E2"/>
      <c r="F2"/>
      <c r="G2"/>
      <c r="H2"/>
      <c r="L2"/>
      <c r="M2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">
      <c r="A3" s="22"/>
      <c r="B3" s="22"/>
      <c r="C3" s="13"/>
      <c r="D3" s="13"/>
      <c r="E3" s="12"/>
      <c r="F3" s="12"/>
      <c r="G3" s="12"/>
      <c r="H3" s="12"/>
      <c r="I3" s="3"/>
      <c r="J3" s="12"/>
      <c r="K3" s="16"/>
      <c r="L3" s="6"/>
      <c r="M3" s="6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">
      <c r="A4" s="12"/>
      <c r="B4" s="12"/>
      <c r="C4" s="13"/>
      <c r="D4" s="13"/>
      <c r="E4" s="12"/>
      <c r="F4" s="12"/>
      <c r="G4" s="12"/>
      <c r="H4" s="12"/>
      <c r="I4" s="3"/>
      <c r="J4" s="12"/>
      <c r="K4" s="16"/>
      <c r="L4" s="6"/>
      <c r="M4" s="6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">
      <c r="A5" s="23" t="s">
        <v>5</v>
      </c>
      <c r="B5" s="23"/>
      <c r="C5" s="23"/>
      <c r="D5" s="23"/>
      <c r="E5" s="4" t="s">
        <v>19</v>
      </c>
      <c r="F5" s="4"/>
      <c r="I5" s="20" t="s">
        <v>20</v>
      </c>
      <c r="K5" s="18"/>
      <c r="L5" s="6"/>
      <c r="M5" s="6"/>
      <c r="N5" s="5"/>
      <c r="O5" s="5"/>
      <c r="P5" s="5"/>
      <c r="Q5" s="5"/>
      <c r="R5" s="5"/>
      <c r="S5" s="5"/>
      <c r="T5" s="5"/>
      <c r="U5" s="5"/>
      <c r="V5" s="3"/>
      <c r="W5" s="3"/>
    </row>
    <row r="6" spans="1:23" x14ac:dyDescent="0.2">
      <c r="A6" s="4"/>
      <c r="B6" s="4"/>
      <c r="C6" s="11"/>
      <c r="D6" s="11"/>
      <c r="E6" s="4"/>
      <c r="F6" s="4"/>
      <c r="G6" s="4"/>
      <c r="H6" s="4"/>
      <c r="I6" s="5"/>
      <c r="J6" s="4"/>
      <c r="K6" s="18"/>
      <c r="L6" s="6"/>
      <c r="M6" s="6"/>
      <c r="N6" s="5"/>
      <c r="O6" s="5"/>
      <c r="P6" s="5"/>
      <c r="Q6" s="5"/>
      <c r="R6" s="5"/>
      <c r="S6" s="5"/>
      <c r="T6" s="5"/>
      <c r="U6" s="5"/>
      <c r="V6" s="3"/>
      <c r="W6" s="3"/>
    </row>
    <row r="7" spans="1:23" x14ac:dyDescent="0.2">
      <c r="A7" s="23" t="s">
        <v>15</v>
      </c>
      <c r="B7" s="23"/>
      <c r="C7" s="23"/>
      <c r="D7" s="23"/>
      <c r="E7" s="23"/>
      <c r="F7" s="23"/>
      <c r="G7" s="10"/>
      <c r="L7" s="10"/>
      <c r="M7" s="10"/>
      <c r="N7" s="5"/>
      <c r="O7" s="5"/>
      <c r="P7" s="5"/>
      <c r="Q7" s="5"/>
      <c r="R7" s="5"/>
      <c r="S7" s="5"/>
      <c r="T7" s="5"/>
      <c r="U7" s="5"/>
      <c r="V7" s="3"/>
      <c r="W7" s="3"/>
    </row>
    <row r="8" spans="1:23" x14ac:dyDescent="0.2">
      <c r="A8" s="10"/>
      <c r="B8" s="4"/>
      <c r="C8" s="11"/>
      <c r="D8" s="11"/>
      <c r="E8" s="4"/>
      <c r="F8" s="4"/>
      <c r="G8" s="4"/>
      <c r="H8" s="10"/>
      <c r="I8" s="5" t="s">
        <v>14</v>
      </c>
      <c r="J8" s="4"/>
      <c r="K8" s="18" t="s">
        <v>16</v>
      </c>
      <c r="L8" s="6"/>
      <c r="M8" s="6"/>
      <c r="N8" s="5"/>
      <c r="O8" s="5"/>
      <c r="P8" s="5"/>
      <c r="Q8" s="5"/>
      <c r="R8" s="5"/>
      <c r="S8" s="5"/>
      <c r="T8" s="5"/>
      <c r="U8" s="5"/>
      <c r="V8" s="3"/>
      <c r="W8" s="3"/>
    </row>
    <row r="9" spans="1:23" x14ac:dyDescent="0.2">
      <c r="A9" s="10"/>
      <c r="B9" s="4"/>
      <c r="C9" s="11"/>
      <c r="D9" s="11"/>
      <c r="E9" s="4" t="s">
        <v>23</v>
      </c>
      <c r="F9" s="4"/>
      <c r="G9" s="4"/>
      <c r="H9" s="4" t="s">
        <v>14</v>
      </c>
      <c r="I9" s="5" t="s">
        <v>6</v>
      </c>
      <c r="J9" s="4" t="s">
        <v>16</v>
      </c>
      <c r="K9" s="18" t="s">
        <v>18</v>
      </c>
      <c r="L9" s="6"/>
      <c r="M9" s="6"/>
      <c r="N9" s="5" t="s">
        <v>7</v>
      </c>
      <c r="O9" s="5"/>
      <c r="P9" s="5" t="s">
        <v>8</v>
      </c>
      <c r="Q9" s="5"/>
      <c r="R9" s="5" t="s">
        <v>9</v>
      </c>
      <c r="S9" s="5"/>
      <c r="T9" s="5" t="s">
        <v>10</v>
      </c>
      <c r="U9" s="5"/>
      <c r="V9" s="3"/>
      <c r="W9" s="3"/>
    </row>
    <row r="10" spans="1:23" x14ac:dyDescent="0.2">
      <c r="A10" s="5" t="s">
        <v>0</v>
      </c>
      <c r="B10" s="4"/>
      <c r="C10" s="11" t="s">
        <v>1</v>
      </c>
      <c r="D10" s="11" t="s">
        <v>2</v>
      </c>
      <c r="E10" s="4" t="s">
        <v>22</v>
      </c>
      <c r="F10" s="4" t="s">
        <v>3</v>
      </c>
      <c r="G10" s="4" t="s">
        <v>4</v>
      </c>
      <c r="H10" s="4" t="s">
        <v>6</v>
      </c>
      <c r="I10" s="5" t="s">
        <v>18</v>
      </c>
      <c r="J10" s="4"/>
      <c r="K10" s="18"/>
      <c r="L10" s="6" t="s">
        <v>11</v>
      </c>
      <c r="M10" s="6"/>
      <c r="N10" s="5" t="s">
        <v>12</v>
      </c>
      <c r="O10" s="5" t="s">
        <v>13</v>
      </c>
      <c r="P10" s="5" t="s">
        <v>12</v>
      </c>
      <c r="Q10" s="5" t="s">
        <v>13</v>
      </c>
      <c r="R10" s="5" t="s">
        <v>12</v>
      </c>
      <c r="S10" s="5" t="s">
        <v>13</v>
      </c>
      <c r="T10" s="5" t="s">
        <v>12</v>
      </c>
      <c r="U10" s="5" t="s">
        <v>13</v>
      </c>
      <c r="V10" s="3"/>
      <c r="W10" s="3"/>
    </row>
    <row r="11" spans="1:23" x14ac:dyDescent="0.2">
      <c r="A11" s="7">
        <v>15</v>
      </c>
      <c r="B11" s="7"/>
      <c r="C11" s="8">
        <f>[1]Sheet2!$J$5</f>
        <v>-18.405000000000001</v>
      </c>
      <c r="D11" s="8">
        <f>[1]Sheet2!$J$4</f>
        <v>125.41499999999999</v>
      </c>
      <c r="E11" s="7">
        <f>[1]Sheet2!$D$8</f>
        <v>51.484416522174151</v>
      </c>
      <c r="F11" s="7" t="str">
        <f>[1]Sheet2!$G$4</f>
        <v>Fitzroy</v>
      </c>
      <c r="G11" s="7" t="str">
        <f>[1]Sheet2!$G$5</f>
        <v>Australia</v>
      </c>
      <c r="H11" s="7" t="str">
        <f>[1]Sheet2!$H$8</f>
        <v>2</v>
      </c>
      <c r="I11" s="7">
        <f>VALUE(H11)</f>
        <v>2</v>
      </c>
      <c r="J11" s="15">
        <f>[1]Sheet2!$H$9</f>
        <v>1.5053396507485861</v>
      </c>
      <c r="K11" s="19">
        <f>[1]Sheet2!$D$9</f>
        <v>6.3449030773137007</v>
      </c>
      <c r="L11" s="9">
        <f>[1]Sheet2!$D$7</f>
        <v>43922</v>
      </c>
      <c r="N11" s="8">
        <f t="shared" ref="N11:N31" si="0">IF($I11=1,$D11,9999)</f>
        <v>9999</v>
      </c>
      <c r="O11" s="8">
        <f t="shared" ref="O11:O31" si="1">IF($I11=1,$C11,9999)</f>
        <v>9999</v>
      </c>
      <c r="P11" s="8">
        <f t="shared" ref="P11:P31" si="2">IF($I11=2,$D11,9999)</f>
        <v>125.41499999999999</v>
      </c>
      <c r="Q11" s="8">
        <f t="shared" ref="Q11:Q31" si="3">IF($I11=2,$C11,9999)</f>
        <v>-18.405000000000001</v>
      </c>
      <c r="R11" s="8">
        <f t="shared" ref="R11:R31" si="4">IF($I11=3,$D11,9999)</f>
        <v>9999</v>
      </c>
      <c r="S11" s="8">
        <f t="shared" ref="S11:S31" si="5">IF($I11=3,$C11,9999)</f>
        <v>9999</v>
      </c>
      <c r="T11" s="8">
        <f t="shared" ref="T11:T31" si="6">IF($I11=4,$D11,9999)</f>
        <v>9999</v>
      </c>
      <c r="U11" s="8">
        <f t="shared" ref="U11:U31" si="7">IF($I11=4,$C11,9999)</f>
        <v>9999</v>
      </c>
      <c r="V11" s="8">
        <f t="shared" ref="V11:V31" si="8">IF($I11=0,$D11,9999)</f>
        <v>9999</v>
      </c>
      <c r="W11" s="8">
        <f t="shared" ref="W11:W31" si="9">IF($I11=0,$C11,9999)</f>
        <v>9999</v>
      </c>
    </row>
    <row r="12" spans="1:23" x14ac:dyDescent="0.2">
      <c r="A12" s="7">
        <v>20</v>
      </c>
      <c r="B12" s="7"/>
      <c r="C12" s="8">
        <f>[2]Sheet2!$J$5</f>
        <v>25.514000000000003</v>
      </c>
      <c r="D12" s="8">
        <f>[2]Sheet2!$J$4</f>
        <v>89.775000000000006</v>
      </c>
      <c r="E12" s="7">
        <f>[2]Sheet2!$D$8</f>
        <v>5722.289834308147</v>
      </c>
      <c r="F12" s="7" t="str">
        <f>[2]Sheet2!$G$4</f>
        <v>Bramaputra</v>
      </c>
      <c r="G12" s="7" t="str">
        <f>[2]Sheet2!$G$5</f>
        <v>Bangladesh</v>
      </c>
      <c r="H12" s="7" t="str">
        <f>[2]Sheet2!$H$8</f>
        <v>2</v>
      </c>
      <c r="I12" s="7">
        <f t="shared" ref="I12:I19" si="10">VALUE(H12)</f>
        <v>2</v>
      </c>
      <c r="J12" s="15">
        <f>[2]Sheet2!$H$9</f>
        <v>1.2815251515522483</v>
      </c>
      <c r="K12" s="19">
        <f>[2]Sheet2!$D$9</f>
        <v>5.6977472951138939</v>
      </c>
      <c r="L12" s="9">
        <f>[2]Sheet2!$D$7</f>
        <v>43923</v>
      </c>
      <c r="N12" s="8">
        <f t="shared" si="0"/>
        <v>9999</v>
      </c>
      <c r="O12" s="8">
        <f t="shared" si="1"/>
        <v>9999</v>
      </c>
      <c r="P12" s="8">
        <f t="shared" si="2"/>
        <v>89.775000000000006</v>
      </c>
      <c r="Q12" s="8">
        <f t="shared" si="3"/>
        <v>25.514000000000003</v>
      </c>
      <c r="R12" s="8">
        <f t="shared" si="4"/>
        <v>9999</v>
      </c>
      <c r="S12" s="8">
        <f t="shared" si="5"/>
        <v>9999</v>
      </c>
      <c r="T12" s="8">
        <f t="shared" si="6"/>
        <v>9999</v>
      </c>
      <c r="U12" s="8">
        <f t="shared" si="7"/>
        <v>9999</v>
      </c>
      <c r="V12" s="8">
        <f t="shared" si="8"/>
        <v>9999</v>
      </c>
      <c r="W12" s="8">
        <f t="shared" si="9"/>
        <v>9999</v>
      </c>
    </row>
    <row r="13" spans="1:23" x14ac:dyDescent="0.2">
      <c r="A13" s="7">
        <v>21</v>
      </c>
      <c r="B13" s="7"/>
      <c r="C13" s="8">
        <f>[3]Sheet2!$J$5</f>
        <v>-13.095000000000001</v>
      </c>
      <c r="D13" s="8">
        <f>[3]Sheet2!$J$4</f>
        <v>-43.423999999999999</v>
      </c>
      <c r="E13" s="7">
        <f>[3]Sheet2!$D$8</f>
        <v>4719.2286533707902</v>
      </c>
      <c r="F13" s="7" t="str">
        <f>[3]Sheet2!$G$4</f>
        <v>Sao Francisco</v>
      </c>
      <c r="G13" s="7" t="str">
        <f>[3]Sheet2!$G$5</f>
        <v>Brazil</v>
      </c>
      <c r="H13" s="7" t="str">
        <f>[3]Sheet2!$H$8</f>
        <v>2</v>
      </c>
      <c r="I13" s="7">
        <f t="shared" si="10"/>
        <v>2</v>
      </c>
      <c r="J13" s="15">
        <f>[3]Sheet2!$H$9</f>
        <v>1.3892975645982422</v>
      </c>
      <c r="K13" s="19">
        <f>[3]Sheet2!$D$9</f>
        <v>12.212489115044141</v>
      </c>
      <c r="L13" s="9">
        <f>[3]Sheet2!$D$7</f>
        <v>43923</v>
      </c>
      <c r="N13" s="8">
        <f t="shared" si="0"/>
        <v>9999</v>
      </c>
      <c r="O13" s="8">
        <f t="shared" si="1"/>
        <v>9999</v>
      </c>
      <c r="P13" s="8">
        <f t="shared" si="2"/>
        <v>-43.423999999999999</v>
      </c>
      <c r="Q13" s="8">
        <f t="shared" si="3"/>
        <v>-13.095000000000001</v>
      </c>
      <c r="R13" s="8">
        <f t="shared" si="4"/>
        <v>9999</v>
      </c>
      <c r="S13" s="8">
        <f t="shared" si="5"/>
        <v>9999</v>
      </c>
      <c r="T13" s="8">
        <f t="shared" si="6"/>
        <v>9999</v>
      </c>
      <c r="U13" s="8">
        <f t="shared" si="7"/>
        <v>9999</v>
      </c>
      <c r="V13" s="8">
        <f t="shared" si="8"/>
        <v>9999</v>
      </c>
      <c r="W13" s="8">
        <f t="shared" si="9"/>
        <v>9999</v>
      </c>
    </row>
    <row r="14" spans="1:23" x14ac:dyDescent="0.2">
      <c r="A14" s="7">
        <v>22</v>
      </c>
      <c r="B14" s="7"/>
      <c r="C14" s="8">
        <f>[4]Sheet2!$J$5</f>
        <v>-10.574999999999999</v>
      </c>
      <c r="D14" s="8">
        <f>[4]Sheet2!$J$4</f>
        <v>-42.614000000000004</v>
      </c>
      <c r="E14" s="7">
        <f>[4]Sheet2!$D$8</f>
        <v>20866.978848010367</v>
      </c>
      <c r="F14" s="7" t="str">
        <f>[3]Sheet2!$G$4</f>
        <v>Sao Francisco</v>
      </c>
      <c r="G14" s="7" t="str">
        <f>[4]Sheet2!$G$5</f>
        <v>Brazil</v>
      </c>
      <c r="H14" s="7" t="str">
        <f>[4]Sheet2!$H$8</f>
        <v>4</v>
      </c>
      <c r="I14" s="7">
        <f t="shared" si="10"/>
        <v>4</v>
      </c>
      <c r="J14" s="15">
        <f>[4]Sheet2!$H$9</f>
        <v>3.8036538152347794</v>
      </c>
      <c r="K14" s="19">
        <f>[4]Sheet2!$D$9</f>
        <v>34.55156837685378</v>
      </c>
      <c r="L14" s="9">
        <f>[4]Sheet2!$D$7</f>
        <v>43921</v>
      </c>
      <c r="N14" s="8">
        <f t="shared" si="0"/>
        <v>9999</v>
      </c>
      <c r="O14" s="8">
        <f t="shared" si="1"/>
        <v>9999</v>
      </c>
      <c r="P14" s="8">
        <f t="shared" si="2"/>
        <v>9999</v>
      </c>
      <c r="Q14" s="8">
        <f t="shared" si="3"/>
        <v>9999</v>
      </c>
      <c r="R14" s="8">
        <f t="shared" si="4"/>
        <v>9999</v>
      </c>
      <c r="S14" s="8">
        <f t="shared" si="5"/>
        <v>9999</v>
      </c>
      <c r="T14" s="8">
        <f t="shared" si="6"/>
        <v>-42.614000000000004</v>
      </c>
      <c r="U14" s="8">
        <f t="shared" si="7"/>
        <v>-10.574999999999999</v>
      </c>
      <c r="V14" s="8">
        <f t="shared" si="8"/>
        <v>9999</v>
      </c>
      <c r="W14" s="8">
        <f t="shared" si="9"/>
        <v>9999</v>
      </c>
    </row>
    <row r="15" spans="1:23" x14ac:dyDescent="0.2">
      <c r="A15" s="7">
        <v>23</v>
      </c>
      <c r="B15" s="7"/>
      <c r="C15" s="8">
        <f>[5]Sheet2!$J$5</f>
        <v>22.003999999999998</v>
      </c>
      <c r="D15" s="8">
        <f>[5]Sheet2!$J$4</f>
        <v>95.174999999999997</v>
      </c>
      <c r="E15" s="7">
        <f>[5]Sheet2!$D$8</f>
        <v>1569.0904819301604</v>
      </c>
      <c r="F15" s="7" t="str">
        <f>[5]Sheet2!$G$4</f>
        <v>Chindwin</v>
      </c>
      <c r="G15" s="7" t="str">
        <f>[5]Sheet2!$G$5</f>
        <v>Myanmar</v>
      </c>
      <c r="H15" s="7" t="str">
        <f>[5]Sheet2!$H$8</f>
        <v>2</v>
      </c>
      <c r="I15" s="7">
        <f t="shared" si="10"/>
        <v>2</v>
      </c>
      <c r="J15" s="15">
        <f>[5]Sheet2!$H$9</f>
        <v>0.40275478289144573</v>
      </c>
      <c r="K15" s="19">
        <f>[5]Sheet2!$D$9</f>
        <v>6.0142336790022544</v>
      </c>
      <c r="L15" s="9">
        <f>[5]Sheet2!$D$7</f>
        <v>43922</v>
      </c>
      <c r="N15" s="8">
        <f t="shared" si="0"/>
        <v>9999</v>
      </c>
      <c r="O15" s="8">
        <f t="shared" si="1"/>
        <v>9999</v>
      </c>
      <c r="P15" s="8">
        <f t="shared" si="2"/>
        <v>95.174999999999997</v>
      </c>
      <c r="Q15" s="8">
        <f t="shared" si="3"/>
        <v>22.003999999999998</v>
      </c>
      <c r="R15" s="8">
        <f t="shared" si="4"/>
        <v>9999</v>
      </c>
      <c r="S15" s="8">
        <f t="shared" si="5"/>
        <v>9999</v>
      </c>
      <c r="T15" s="8">
        <f t="shared" si="6"/>
        <v>9999</v>
      </c>
      <c r="U15" s="8">
        <f t="shared" si="7"/>
        <v>9999</v>
      </c>
      <c r="V15" s="8">
        <f t="shared" si="8"/>
        <v>9999</v>
      </c>
      <c r="W15" s="8">
        <f t="shared" si="9"/>
        <v>9999</v>
      </c>
    </row>
    <row r="16" spans="1:23" x14ac:dyDescent="0.2">
      <c r="A16" s="7">
        <v>24</v>
      </c>
      <c r="B16" s="7"/>
      <c r="C16" s="8">
        <f>[6]Sheet2!$J$5</f>
        <v>24.793999999999997</v>
      </c>
      <c r="D16" s="8">
        <f>[6]Sheet2!$J$4</f>
        <v>94.905000000000001</v>
      </c>
      <c r="E16" s="7">
        <f>[6]Sheet2!$D$8</f>
        <v>705.92423860678264</v>
      </c>
      <c r="F16" s="7" t="str">
        <f>[6]Sheet2!$G$4</f>
        <v>Chindwin</v>
      </c>
      <c r="G16" s="7" t="str">
        <f>[6]Sheet2!$G$5</f>
        <v>Myanmar</v>
      </c>
      <c r="H16" s="7" t="str">
        <f>[6]Sheet2!$H$8</f>
        <v>1</v>
      </c>
      <c r="I16" s="7">
        <f t="shared" si="10"/>
        <v>1</v>
      </c>
      <c r="J16" s="15">
        <f>[6]Sheet2!$H$9</f>
        <v>0.44775411717640046</v>
      </c>
      <c r="K16" s="19">
        <f>[6]Sheet2!$D$9</f>
        <v>6.1718369508535078</v>
      </c>
      <c r="L16" s="9">
        <f>[6]Sheet2!$D$7</f>
        <v>43922</v>
      </c>
      <c r="N16" s="8">
        <f t="shared" si="0"/>
        <v>94.905000000000001</v>
      </c>
      <c r="O16" s="8">
        <f t="shared" si="1"/>
        <v>24.793999999999997</v>
      </c>
      <c r="P16" s="8">
        <f t="shared" si="2"/>
        <v>9999</v>
      </c>
      <c r="Q16" s="8">
        <f t="shared" si="3"/>
        <v>9999</v>
      </c>
      <c r="R16" s="8">
        <f t="shared" si="4"/>
        <v>9999</v>
      </c>
      <c r="S16" s="8">
        <f t="shared" si="5"/>
        <v>9999</v>
      </c>
      <c r="T16" s="8">
        <f t="shared" si="6"/>
        <v>9999</v>
      </c>
      <c r="U16" s="8">
        <f t="shared" si="7"/>
        <v>9999</v>
      </c>
      <c r="V16" s="8">
        <f t="shared" si="8"/>
        <v>9999</v>
      </c>
      <c r="W16" s="8">
        <f t="shared" si="9"/>
        <v>9999</v>
      </c>
    </row>
    <row r="17" spans="1:23" x14ac:dyDescent="0.2">
      <c r="A17" s="7">
        <v>25</v>
      </c>
      <c r="B17" s="7"/>
      <c r="C17" s="8">
        <f>[7]Sheet2!$J$5</f>
        <v>17.323999999999998</v>
      </c>
      <c r="D17" s="8">
        <f>[7]Sheet2!$J$4</f>
        <v>94.995000000000005</v>
      </c>
      <c r="E17" s="7">
        <f>[7]Sheet2!$D$8</f>
        <v>0</v>
      </c>
      <c r="F17" s="7" t="str">
        <f>[7]Sheet2!$G$4</f>
        <v>Bassein River</v>
      </c>
      <c r="G17" s="7" t="str">
        <f>[7]Sheet2!$G$5</f>
        <v>Myanmar</v>
      </c>
      <c r="H17" s="7" t="str">
        <f>[7]Sheet2!$H$8</f>
        <v>2</v>
      </c>
      <c r="I17" s="7">
        <f t="shared" si="10"/>
        <v>2</v>
      </c>
      <c r="J17" s="15" t="e">
        <f>[7]Sheet2!$H$9</f>
        <v>#DIV/0!</v>
      </c>
      <c r="K17" s="19">
        <f>[7]Sheet2!$D$9</f>
        <v>0</v>
      </c>
      <c r="L17" s="9">
        <f>[7]Sheet2!$D$7</f>
        <v>43922</v>
      </c>
      <c r="N17" s="8">
        <f t="shared" si="0"/>
        <v>9999</v>
      </c>
      <c r="O17" s="8">
        <f t="shared" si="1"/>
        <v>9999</v>
      </c>
      <c r="P17" s="8">
        <f t="shared" si="2"/>
        <v>94.995000000000005</v>
      </c>
      <c r="Q17" s="8">
        <f t="shared" si="3"/>
        <v>17.323999999999998</v>
      </c>
      <c r="R17" s="8">
        <f t="shared" si="4"/>
        <v>9999</v>
      </c>
      <c r="S17" s="8">
        <f t="shared" si="5"/>
        <v>9999</v>
      </c>
      <c r="T17" s="8">
        <f t="shared" si="6"/>
        <v>9999</v>
      </c>
      <c r="U17" s="8">
        <f t="shared" si="7"/>
        <v>9999</v>
      </c>
      <c r="V17" s="8">
        <f t="shared" si="8"/>
        <v>9999</v>
      </c>
      <c r="W17" s="8">
        <f t="shared" si="9"/>
        <v>9999</v>
      </c>
    </row>
    <row r="18" spans="1:23" x14ac:dyDescent="0.2">
      <c r="A18" s="7">
        <v>26</v>
      </c>
      <c r="B18" s="7"/>
      <c r="C18" s="8">
        <f>[8]Sheet2!$J$5</f>
        <v>24.344000000000001</v>
      </c>
      <c r="D18" s="8">
        <f>[8]Sheet2!$J$4</f>
        <v>96.614999999999995</v>
      </c>
      <c r="E18" s="7">
        <f>[8]Sheet2!$D$8</f>
        <v>0</v>
      </c>
      <c r="F18" s="7" t="str">
        <f>[8]Sheet2!$G$4</f>
        <v>Irrawaddy</v>
      </c>
      <c r="G18" s="7" t="str">
        <f>[8]Sheet2!$G$5</f>
        <v>Myanmar</v>
      </c>
      <c r="H18" s="7" t="str">
        <f>[8]Sheet2!$H$8</f>
        <v>1</v>
      </c>
      <c r="I18" s="7">
        <f t="shared" si="10"/>
        <v>1</v>
      </c>
      <c r="J18" s="15">
        <f>[8]Sheet2!$H$9</f>
        <v>0</v>
      </c>
      <c r="K18" s="19">
        <f>[8]Sheet2!$D$9</f>
        <v>0</v>
      </c>
      <c r="L18" s="9">
        <f>[8]Sheet2!$D$7</f>
        <v>43922</v>
      </c>
      <c r="N18" s="8">
        <f t="shared" si="0"/>
        <v>96.614999999999995</v>
      </c>
      <c r="O18" s="8">
        <f t="shared" si="1"/>
        <v>24.344000000000001</v>
      </c>
      <c r="P18" s="8">
        <f t="shared" si="2"/>
        <v>9999</v>
      </c>
      <c r="Q18" s="8">
        <f t="shared" si="3"/>
        <v>9999</v>
      </c>
      <c r="R18" s="8">
        <f t="shared" si="4"/>
        <v>9999</v>
      </c>
      <c r="S18" s="8">
        <f t="shared" si="5"/>
        <v>9999</v>
      </c>
      <c r="T18" s="8">
        <f t="shared" si="6"/>
        <v>9999</v>
      </c>
      <c r="U18" s="8">
        <f t="shared" si="7"/>
        <v>9999</v>
      </c>
      <c r="V18" s="8">
        <f t="shared" si="8"/>
        <v>9999</v>
      </c>
      <c r="W18" s="8">
        <f t="shared" si="9"/>
        <v>9999</v>
      </c>
    </row>
    <row r="19" spans="1:23" x14ac:dyDescent="0.2">
      <c r="A19" s="7">
        <v>27</v>
      </c>
      <c r="B19" s="7"/>
      <c r="C19" s="8">
        <f>[9]Sheet2!$J$5</f>
        <v>23.624000000000002</v>
      </c>
      <c r="D19" s="8">
        <f>[9]Sheet2!$J$4</f>
        <v>96.075000000000003</v>
      </c>
      <c r="E19" s="7">
        <f>[9]Sheet2!$D$8</f>
        <v>1570.70349100866</v>
      </c>
      <c r="F19" s="7" t="str">
        <f>[9]Sheet2!$G$4</f>
        <v>Irrawaddy</v>
      </c>
      <c r="G19" s="7" t="str">
        <f>[9]Sheet2!$G$5</f>
        <v>Myanmar</v>
      </c>
      <c r="H19" s="7" t="str">
        <f>[9]Sheet2!$H$8</f>
        <v>2</v>
      </c>
      <c r="I19" s="7">
        <f t="shared" si="10"/>
        <v>2</v>
      </c>
      <c r="J19" s="15">
        <f>[9]Sheet2!$H$9</f>
        <v>1.0838022851524771</v>
      </c>
      <c r="K19" s="19">
        <f>[9]Sheet2!$D$9</f>
        <v>8.3844695472240218</v>
      </c>
      <c r="L19" s="9">
        <f>[9]Sheet2!$D$7</f>
        <v>43922</v>
      </c>
      <c r="N19" s="8">
        <f t="shared" si="0"/>
        <v>9999</v>
      </c>
      <c r="O19" s="8">
        <f t="shared" si="1"/>
        <v>9999</v>
      </c>
      <c r="P19" s="8">
        <f t="shared" si="2"/>
        <v>96.075000000000003</v>
      </c>
      <c r="Q19" s="8">
        <f t="shared" si="3"/>
        <v>23.624000000000002</v>
      </c>
      <c r="R19" s="8">
        <f t="shared" si="4"/>
        <v>9999</v>
      </c>
      <c r="S19" s="8">
        <f t="shared" si="5"/>
        <v>9999</v>
      </c>
      <c r="T19" s="8">
        <f t="shared" si="6"/>
        <v>9999</v>
      </c>
      <c r="U19" s="8">
        <f t="shared" si="7"/>
        <v>9999</v>
      </c>
      <c r="V19" s="8">
        <f t="shared" si="8"/>
        <v>9999</v>
      </c>
      <c r="W19" s="8">
        <f t="shared" si="9"/>
        <v>9999</v>
      </c>
    </row>
    <row r="20" spans="1:23" x14ac:dyDescent="0.2">
      <c r="A20" s="7">
        <v>29</v>
      </c>
      <c r="B20" s="7"/>
      <c r="C20" s="8">
        <f>[10]Sheet2!$J$5</f>
        <v>20.564</v>
      </c>
      <c r="D20" s="8">
        <f>[10]Sheet2!$J$4</f>
        <v>94.814999999999998</v>
      </c>
      <c r="E20" s="7">
        <f>[10]Sheet2!$D$8</f>
        <v>5506.3596436595981</v>
      </c>
      <c r="F20" s="7" t="str">
        <f>[10]Sheet2!$G$4</f>
        <v>Irrawaddy</v>
      </c>
      <c r="G20" s="7" t="str">
        <f>[10]Sheet2!$G$5</f>
        <v>Myanmar</v>
      </c>
      <c r="H20" s="7" t="str">
        <f>[10]Sheet2!$H$8</f>
        <v>1</v>
      </c>
      <c r="I20" s="7">
        <f t="shared" ref="I20:I34" si="11">VALUE(H20)</f>
        <v>1</v>
      </c>
      <c r="J20" s="15">
        <f>[10]Sheet2!$H$9</f>
        <v>0.73042118576337889</v>
      </c>
      <c r="K20" s="19">
        <f>[10]Sheet2!$D$9</f>
        <v>11.425072495446932</v>
      </c>
      <c r="L20" s="9">
        <f>[10]Sheet2!$D$7</f>
        <v>43922</v>
      </c>
      <c r="N20" s="8">
        <f t="shared" si="0"/>
        <v>94.814999999999998</v>
      </c>
      <c r="O20" s="8">
        <f t="shared" si="1"/>
        <v>20.564</v>
      </c>
      <c r="P20" s="8">
        <f t="shared" si="2"/>
        <v>9999</v>
      </c>
      <c r="Q20" s="8">
        <f t="shared" si="3"/>
        <v>9999</v>
      </c>
      <c r="R20" s="8">
        <f t="shared" si="4"/>
        <v>9999</v>
      </c>
      <c r="S20" s="8">
        <f t="shared" si="5"/>
        <v>9999</v>
      </c>
      <c r="T20" s="8">
        <f t="shared" si="6"/>
        <v>9999</v>
      </c>
      <c r="U20" s="8">
        <f t="shared" si="7"/>
        <v>9999</v>
      </c>
      <c r="V20" s="8">
        <f t="shared" si="8"/>
        <v>9999</v>
      </c>
      <c r="W20" s="8">
        <f t="shared" si="9"/>
        <v>9999</v>
      </c>
    </row>
    <row r="21" spans="1:23" x14ac:dyDescent="0.2">
      <c r="A21" s="7">
        <v>30</v>
      </c>
      <c r="B21" s="7"/>
      <c r="C21" s="8">
        <f>[11]Sheet2!$J$5</f>
        <v>18.043999999999997</v>
      </c>
      <c r="D21" s="8">
        <f>[11]Sheet2!$J$4</f>
        <v>95.444999999999993</v>
      </c>
      <c r="E21" s="7">
        <f>[11]Sheet2!$D$8</f>
        <v>2044.6604994350146</v>
      </c>
      <c r="F21" s="7" t="str">
        <f>[11]Sheet2!$G$4</f>
        <v>Irrawaddy</v>
      </c>
      <c r="G21" s="7" t="str">
        <f>[11]Sheet2!$G$5</f>
        <v>Myanmar</v>
      </c>
      <c r="H21" s="7" t="str">
        <f>[11]Sheet2!$H$8</f>
        <v>1</v>
      </c>
      <c r="I21" s="7">
        <f t="shared" si="11"/>
        <v>1</v>
      </c>
      <c r="J21" s="15">
        <f>[11]Sheet2!$H$9</f>
        <v>0.48256611821230111</v>
      </c>
      <c r="K21" s="19">
        <f>[11]Sheet2!$D$9</f>
        <v>2.9062180166732725</v>
      </c>
      <c r="L21" s="9">
        <f>[11]Sheet2!$D$7</f>
        <v>43923</v>
      </c>
      <c r="N21" s="8">
        <f t="shared" si="0"/>
        <v>95.444999999999993</v>
      </c>
      <c r="O21" s="8">
        <f t="shared" si="1"/>
        <v>18.043999999999997</v>
      </c>
      <c r="P21" s="8">
        <f t="shared" si="2"/>
        <v>9999</v>
      </c>
      <c r="Q21" s="8">
        <f t="shared" si="3"/>
        <v>9999</v>
      </c>
      <c r="R21" s="8">
        <f t="shared" si="4"/>
        <v>9999</v>
      </c>
      <c r="S21" s="8">
        <f t="shared" si="5"/>
        <v>9999</v>
      </c>
      <c r="T21" s="8">
        <f t="shared" si="6"/>
        <v>9999</v>
      </c>
      <c r="U21" s="8">
        <f t="shared" si="7"/>
        <v>9999</v>
      </c>
      <c r="V21" s="8">
        <f t="shared" si="8"/>
        <v>9999</v>
      </c>
      <c r="W21" s="8">
        <f t="shared" si="9"/>
        <v>9999</v>
      </c>
    </row>
    <row r="22" spans="1:23" x14ac:dyDescent="0.2">
      <c r="A22" s="7">
        <v>34</v>
      </c>
      <c r="B22" s="7"/>
      <c r="C22" s="8">
        <f>[12]Sheet2!$J$5</f>
        <v>11.294</v>
      </c>
      <c r="D22" s="8">
        <f>[12]Sheet2!$J$4</f>
        <v>105.255</v>
      </c>
      <c r="E22" s="7">
        <f>[12]Sheet2!$D$8</f>
        <v>4060.6492681158416</v>
      </c>
      <c r="F22" s="7" t="str">
        <f>[12]Sheet2!$G$4</f>
        <v>Mekong</v>
      </c>
      <c r="G22" s="7" t="str">
        <f>[12]Sheet2!$G$5</f>
        <v>Cambodia</v>
      </c>
      <c r="H22" s="7" t="str">
        <f>[12]Sheet2!$H$8</f>
        <v>2</v>
      </c>
      <c r="I22" s="7">
        <f t="shared" si="11"/>
        <v>2</v>
      </c>
      <c r="J22" s="15">
        <f>[12]Sheet2!$H$9</f>
        <v>0.76558235769711913</v>
      </c>
      <c r="K22" s="19">
        <f>[12]Sheet2!$D$9</f>
        <v>3.1975772561714777</v>
      </c>
      <c r="L22" s="9">
        <f>[12]Sheet2!$D$7</f>
        <v>43921</v>
      </c>
      <c r="N22" s="8">
        <f t="shared" si="0"/>
        <v>9999</v>
      </c>
      <c r="O22" s="8">
        <f t="shared" si="1"/>
        <v>9999</v>
      </c>
      <c r="P22" s="8">
        <f t="shared" si="2"/>
        <v>105.255</v>
      </c>
      <c r="Q22" s="8">
        <f t="shared" si="3"/>
        <v>11.294</v>
      </c>
      <c r="R22" s="8">
        <f t="shared" si="4"/>
        <v>9999</v>
      </c>
      <c r="S22" s="8">
        <f t="shared" si="5"/>
        <v>9999</v>
      </c>
      <c r="T22" s="8">
        <f t="shared" si="6"/>
        <v>9999</v>
      </c>
      <c r="U22" s="8">
        <f t="shared" si="7"/>
        <v>9999</v>
      </c>
      <c r="V22" s="8">
        <f t="shared" si="8"/>
        <v>9999</v>
      </c>
      <c r="W22" s="8">
        <f t="shared" si="9"/>
        <v>9999</v>
      </c>
    </row>
    <row r="23" spans="1:23" x14ac:dyDescent="0.2">
      <c r="A23" s="7">
        <v>38</v>
      </c>
      <c r="B23" s="7"/>
      <c r="C23" s="8">
        <f>[13]Sheet2!$J$5</f>
        <v>29.293999999999997</v>
      </c>
      <c r="D23" s="8">
        <f>[13]Sheet2!$J$4</f>
        <v>116.05500000000001</v>
      </c>
      <c r="E23" s="7">
        <f>[13]Sheet2!$K$6</f>
        <v>262424</v>
      </c>
      <c r="F23" s="7" t="str">
        <f>[13]Sheet2!$G$4</f>
        <v>Poyang</v>
      </c>
      <c r="G23" s="7" t="str">
        <f>[13]Sheet2!$G$5</f>
        <v>China</v>
      </c>
      <c r="H23" s="7">
        <f>[13]Sheet2!$H$9</f>
        <v>0</v>
      </c>
      <c r="I23" s="7">
        <f t="shared" si="11"/>
        <v>0</v>
      </c>
      <c r="J23" s="15"/>
      <c r="K23" s="19"/>
      <c r="L23" s="9">
        <f>[13]Sheet2!$D$7</f>
        <v>43914</v>
      </c>
      <c r="N23" s="8">
        <f t="shared" si="0"/>
        <v>9999</v>
      </c>
      <c r="O23" s="8">
        <f t="shared" si="1"/>
        <v>9999</v>
      </c>
      <c r="P23" s="8">
        <f t="shared" si="2"/>
        <v>9999</v>
      </c>
      <c r="Q23" s="8">
        <f t="shared" si="3"/>
        <v>9999</v>
      </c>
      <c r="R23" s="8">
        <f t="shared" si="4"/>
        <v>9999</v>
      </c>
      <c r="S23" s="8">
        <f t="shared" si="5"/>
        <v>9999</v>
      </c>
      <c r="T23" s="8">
        <f t="shared" si="6"/>
        <v>9999</v>
      </c>
      <c r="U23" s="8">
        <f t="shared" si="7"/>
        <v>9999</v>
      </c>
      <c r="V23" s="8">
        <f t="shared" si="8"/>
        <v>116.05500000000001</v>
      </c>
      <c r="W23" s="8">
        <f t="shared" si="9"/>
        <v>29.293999999999997</v>
      </c>
    </row>
    <row r="24" spans="1:23" x14ac:dyDescent="0.2">
      <c r="A24" s="7">
        <v>40</v>
      </c>
      <c r="B24" s="7"/>
      <c r="C24" s="8">
        <f>[14]Sheet2!$J$5</f>
        <v>7.1539999999999999</v>
      </c>
      <c r="D24" s="8">
        <f>[14]Sheet2!$J$4</f>
        <v>-76.994</v>
      </c>
      <c r="E24" s="7">
        <f>[14]Sheet2!$D$8</f>
        <v>2171.3594673811367</v>
      </c>
      <c r="F24" s="7" t="str">
        <f>[14]Sheet2!$G$4</f>
        <v>Atrato</v>
      </c>
      <c r="G24" s="7" t="str">
        <f>[14]Sheet2!$G$5</f>
        <v>Colombia</v>
      </c>
      <c r="H24" s="7" t="str">
        <f>[14]Sheet2!$H$8</f>
        <v>1</v>
      </c>
      <c r="I24" s="7">
        <f t="shared" si="11"/>
        <v>1</v>
      </c>
      <c r="J24" s="15">
        <f>[15]Sheet2!$H$9</f>
        <v>1.0832442572192886</v>
      </c>
      <c r="K24" s="19">
        <f>[14]Sheet2!$D$9</f>
        <v>55.431067937987414</v>
      </c>
      <c r="L24" s="9">
        <f>[14]Sheet2!$D$7</f>
        <v>43923</v>
      </c>
      <c r="N24" s="8">
        <f t="shared" si="0"/>
        <v>-76.994</v>
      </c>
      <c r="O24" s="8">
        <f t="shared" si="1"/>
        <v>7.1539999999999999</v>
      </c>
      <c r="P24" s="8">
        <f t="shared" si="2"/>
        <v>9999</v>
      </c>
      <c r="Q24" s="8">
        <f t="shared" si="3"/>
        <v>9999</v>
      </c>
      <c r="R24" s="8">
        <f t="shared" si="4"/>
        <v>9999</v>
      </c>
      <c r="S24" s="8">
        <f t="shared" si="5"/>
        <v>9999</v>
      </c>
      <c r="T24" s="8">
        <f t="shared" si="6"/>
        <v>9999</v>
      </c>
      <c r="U24" s="8">
        <f t="shared" si="7"/>
        <v>9999</v>
      </c>
      <c r="V24" s="8">
        <f t="shared" si="8"/>
        <v>9999</v>
      </c>
      <c r="W24" s="8">
        <f t="shared" si="9"/>
        <v>9999</v>
      </c>
    </row>
    <row r="25" spans="1:23" x14ac:dyDescent="0.2">
      <c r="A25" s="7">
        <v>51</v>
      </c>
      <c r="B25" s="7"/>
      <c r="C25" s="8">
        <f>[16]Sheet2!$J$5</f>
        <v>24.973999999999997</v>
      </c>
      <c r="D25" s="8">
        <f>[16]Sheet2!$J$4</f>
        <v>87.974999999999994</v>
      </c>
      <c r="E25" s="7">
        <f>[16]Sheet2!$D$8</f>
        <v>16113.774358677792</v>
      </c>
      <c r="F25" s="7" t="str">
        <f>[16]Sheet2!$G$4</f>
        <v>Ganges</v>
      </c>
      <c r="G25" s="7" t="str">
        <f>[16]Sheet2!$G$5</f>
        <v>India</v>
      </c>
      <c r="H25" s="7" t="str">
        <f>[16]Sheet2!$H$8</f>
        <v>2</v>
      </c>
      <c r="I25" s="7">
        <f t="shared" si="11"/>
        <v>2</v>
      </c>
      <c r="J25" s="15">
        <f>[16]Sheet2!$H$9</f>
        <v>1.6761873243569216</v>
      </c>
      <c r="K25" s="19">
        <f>[16]Sheet2!$D$9</f>
        <v>10.455183348414645</v>
      </c>
      <c r="L25" s="9">
        <f>[16]Sheet2!$D$7</f>
        <v>43923</v>
      </c>
      <c r="N25" s="8">
        <f t="shared" si="0"/>
        <v>9999</v>
      </c>
      <c r="O25" s="8">
        <f t="shared" si="1"/>
        <v>9999</v>
      </c>
      <c r="P25" s="8">
        <f t="shared" si="2"/>
        <v>87.974999999999994</v>
      </c>
      <c r="Q25" s="8">
        <f t="shared" si="3"/>
        <v>24.973999999999997</v>
      </c>
      <c r="R25" s="8">
        <f t="shared" si="4"/>
        <v>9999</v>
      </c>
      <c r="S25" s="8">
        <f t="shared" si="5"/>
        <v>9999</v>
      </c>
      <c r="T25" s="8">
        <f t="shared" si="6"/>
        <v>9999</v>
      </c>
      <c r="U25" s="8">
        <f t="shared" si="7"/>
        <v>9999</v>
      </c>
      <c r="V25" s="8">
        <f t="shared" si="8"/>
        <v>9999</v>
      </c>
      <c r="W25" s="8">
        <f t="shared" si="9"/>
        <v>9999</v>
      </c>
    </row>
    <row r="26" spans="1:23" x14ac:dyDescent="0.2">
      <c r="A26" s="7">
        <v>52</v>
      </c>
      <c r="B26" s="7"/>
      <c r="C26" s="8">
        <f>[17]Sheet2!$J$5</f>
        <v>25.963999999999999</v>
      </c>
      <c r="D26" s="8">
        <f>[17]Sheet2!$J$4</f>
        <v>86.444999999999993</v>
      </c>
      <c r="E26" s="7">
        <f>[17]Sheet2!$D$8</f>
        <v>1033.5821826315541</v>
      </c>
      <c r="F26" s="7" t="str">
        <f>[17]Sheet2!$G$4</f>
        <v>SaptKosi</v>
      </c>
      <c r="G26" s="7" t="str">
        <f>[17]Sheet2!$G$5</f>
        <v>India</v>
      </c>
      <c r="H26" s="7" t="str">
        <f>[17]Sheet2!$H$8</f>
        <v>2</v>
      </c>
      <c r="I26" s="7">
        <f t="shared" si="11"/>
        <v>2</v>
      </c>
      <c r="J26" s="15">
        <f>[17]Sheet2!$H$9</f>
        <v>1.4110305813698454</v>
      </c>
      <c r="K26" s="19">
        <f>[17]Sheet2!$D$9</f>
        <v>10.008977487562987</v>
      </c>
      <c r="L26" s="9">
        <f>[17]Sheet2!$D$7</f>
        <v>43923</v>
      </c>
      <c r="N26" s="8">
        <f t="shared" si="0"/>
        <v>9999</v>
      </c>
      <c r="O26" s="8">
        <f t="shared" si="1"/>
        <v>9999</v>
      </c>
      <c r="P26" s="8">
        <f t="shared" si="2"/>
        <v>86.444999999999993</v>
      </c>
      <c r="Q26" s="8">
        <f t="shared" si="3"/>
        <v>25.963999999999999</v>
      </c>
      <c r="R26" s="8">
        <f t="shared" si="4"/>
        <v>9999</v>
      </c>
      <c r="S26" s="8">
        <f t="shared" si="5"/>
        <v>9999</v>
      </c>
      <c r="T26" s="8">
        <f t="shared" si="6"/>
        <v>9999</v>
      </c>
      <c r="U26" s="8">
        <f t="shared" si="7"/>
        <v>9999</v>
      </c>
      <c r="V26" s="8">
        <f t="shared" si="8"/>
        <v>9999</v>
      </c>
      <c r="W26" s="8">
        <f t="shared" si="9"/>
        <v>9999</v>
      </c>
    </row>
    <row r="27" spans="1:23" x14ac:dyDescent="0.2">
      <c r="A27" s="7">
        <v>56</v>
      </c>
      <c r="B27" s="7"/>
      <c r="C27" s="8">
        <f>[18]Sheet2!$J$5</f>
        <v>-16.515000000000001</v>
      </c>
      <c r="D27" s="8">
        <f>[18]Sheet2!$J$4</f>
        <v>35.144999999999996</v>
      </c>
      <c r="E27" s="7">
        <f>[18]Sheet2!$D$8</f>
        <v>843.44984233875925</v>
      </c>
      <c r="F27" s="7" t="str">
        <f>[18]Sheet2!$G$4</f>
        <v>Shire</v>
      </c>
      <c r="G27" s="7" t="str">
        <f>[18]Sheet2!$G$5</f>
        <v>Malawi</v>
      </c>
      <c r="H27" s="7" t="str">
        <f>[18]Sheet2!$H$8</f>
        <v>1</v>
      </c>
      <c r="I27" s="7">
        <f t="shared" si="11"/>
        <v>1</v>
      </c>
      <c r="J27" s="15">
        <f>[19]Sheet2!$H$9</f>
        <v>0</v>
      </c>
      <c r="K27" s="19">
        <f>[18]Sheet2!$D$9</f>
        <v>5.8564318896978227</v>
      </c>
      <c r="L27" s="9">
        <f>[18]Sheet2!$D$7</f>
        <v>43923</v>
      </c>
      <c r="N27" s="8">
        <f t="shared" si="0"/>
        <v>35.144999999999996</v>
      </c>
      <c r="O27" s="8">
        <f t="shared" si="1"/>
        <v>-16.515000000000001</v>
      </c>
      <c r="P27" s="8">
        <f t="shared" si="2"/>
        <v>9999</v>
      </c>
      <c r="Q27" s="8">
        <f t="shared" si="3"/>
        <v>9999</v>
      </c>
      <c r="R27" s="8">
        <f t="shared" si="4"/>
        <v>9999</v>
      </c>
      <c r="S27" s="8">
        <f t="shared" si="5"/>
        <v>9999</v>
      </c>
      <c r="T27" s="8">
        <f t="shared" si="6"/>
        <v>9999</v>
      </c>
      <c r="U27" s="8">
        <f t="shared" si="7"/>
        <v>9999</v>
      </c>
      <c r="V27" s="8">
        <f t="shared" si="8"/>
        <v>9999</v>
      </c>
      <c r="W27" s="8">
        <f t="shared" si="9"/>
        <v>9999</v>
      </c>
    </row>
    <row r="28" spans="1:23" x14ac:dyDescent="0.2">
      <c r="A28" s="7">
        <v>59</v>
      </c>
      <c r="B28" s="7"/>
      <c r="C28" s="8">
        <f>[20]Sheet2!$J$5</f>
        <v>16.603999999999999</v>
      </c>
      <c r="D28" s="8">
        <f>[20]Sheet2!$J$4</f>
        <v>-3.1040000000000001</v>
      </c>
      <c r="E28" s="7">
        <f>[20]Sheet2!$D$8</f>
        <v>406.26928730064878</v>
      </c>
      <c r="F28" s="7" t="str">
        <f>[20]Sheet2!$G$4</f>
        <v>Niger</v>
      </c>
      <c r="G28" s="7" t="str">
        <f>[20]Sheet2!$G$5</f>
        <v>Mali</v>
      </c>
      <c r="H28" s="7" t="str">
        <f>[20]Sheet2!$H$8</f>
        <v>2</v>
      </c>
      <c r="I28" s="7">
        <f t="shared" si="11"/>
        <v>2</v>
      </c>
      <c r="J28" s="15">
        <f>[20]Sheet2!$H$9</f>
        <v>1.2188440680891715</v>
      </c>
      <c r="K28" s="19">
        <f>[20]Sheet2!$D$9</f>
        <v>0.8777459529422148</v>
      </c>
      <c r="L28" s="9">
        <f>[20]Sheet2!$D$7</f>
        <v>43922</v>
      </c>
      <c r="N28" s="8">
        <f t="shared" si="0"/>
        <v>9999</v>
      </c>
      <c r="O28" s="8">
        <f t="shared" si="1"/>
        <v>9999</v>
      </c>
      <c r="P28" s="8">
        <f t="shared" si="2"/>
        <v>-3.1040000000000001</v>
      </c>
      <c r="Q28" s="8">
        <f t="shared" si="3"/>
        <v>16.603999999999999</v>
      </c>
      <c r="R28" s="8">
        <f t="shared" si="4"/>
        <v>9999</v>
      </c>
      <c r="S28" s="8">
        <f t="shared" si="5"/>
        <v>9999</v>
      </c>
      <c r="T28" s="8">
        <f t="shared" si="6"/>
        <v>9999</v>
      </c>
      <c r="U28" s="8">
        <f t="shared" si="7"/>
        <v>9999</v>
      </c>
      <c r="V28" s="8">
        <f t="shared" si="8"/>
        <v>9999</v>
      </c>
      <c r="W28" s="8">
        <f t="shared" si="9"/>
        <v>9999</v>
      </c>
    </row>
    <row r="29" spans="1:23" x14ac:dyDescent="0.2">
      <c r="A29" s="7">
        <v>60</v>
      </c>
      <c r="B29" s="7"/>
      <c r="C29" s="8">
        <f>[21]Sheet2!$J$5</f>
        <v>17.863999999999997</v>
      </c>
      <c r="D29" s="8">
        <f>[21]Sheet2!$J$4</f>
        <v>-94.634</v>
      </c>
      <c r="E29" s="7">
        <f>[21]Sheet2!$D$8</f>
        <v>396.63206938121391</v>
      </c>
      <c r="F29" s="7" t="str">
        <f>[21]Sheet2!$G$4</f>
        <v>Coatzacoalcos</v>
      </c>
      <c r="G29" s="7" t="str">
        <f>[21]Sheet2!$G$5</f>
        <v>Mexico</v>
      </c>
      <c r="H29" s="7" t="str">
        <f>[21]Sheet2!$H$8</f>
        <v>2</v>
      </c>
      <c r="I29" s="7">
        <f t="shared" si="11"/>
        <v>2</v>
      </c>
      <c r="J29" s="15">
        <f>[21]Sheet2!$H$9</f>
        <v>0.82162442076540854</v>
      </c>
      <c r="K29" s="19">
        <f>[21]Sheet2!$D$9</f>
        <v>22.105044668019733</v>
      </c>
      <c r="L29" s="9">
        <f>[21]Sheet2!$D$7</f>
        <v>43922</v>
      </c>
      <c r="N29" s="8">
        <f t="shared" si="0"/>
        <v>9999</v>
      </c>
      <c r="O29" s="8">
        <f t="shared" si="1"/>
        <v>9999</v>
      </c>
      <c r="P29" s="8">
        <f t="shared" si="2"/>
        <v>-94.634</v>
      </c>
      <c r="Q29" s="8">
        <f t="shared" si="3"/>
        <v>17.863999999999997</v>
      </c>
      <c r="R29" s="8">
        <f t="shared" si="4"/>
        <v>9999</v>
      </c>
      <c r="S29" s="8">
        <f t="shared" si="5"/>
        <v>9999</v>
      </c>
      <c r="T29" s="8">
        <f t="shared" si="6"/>
        <v>9999</v>
      </c>
      <c r="U29" s="8">
        <f t="shared" si="7"/>
        <v>9999</v>
      </c>
      <c r="V29" s="8">
        <f t="shared" si="8"/>
        <v>9999</v>
      </c>
      <c r="W29" s="8">
        <f t="shared" si="9"/>
        <v>9999</v>
      </c>
    </row>
    <row r="30" spans="1:23" x14ac:dyDescent="0.2">
      <c r="A30" s="7">
        <v>63</v>
      </c>
      <c r="B30" s="7"/>
      <c r="C30" s="8">
        <f>[22]Sheet2!$J$5</f>
        <v>17.774000000000001</v>
      </c>
      <c r="D30" s="8">
        <f>[22]Sheet2!$J$4</f>
        <v>-91.573999999999998</v>
      </c>
      <c r="E30" s="7">
        <f>[22]Sheet2!$D$8</f>
        <v>1029.7991457741118</v>
      </c>
      <c r="F30" s="7" t="str">
        <f>[22]Sheet2!$G$4</f>
        <v>Usumacinta</v>
      </c>
      <c r="G30" s="7" t="str">
        <f>[22]Sheet2!$G$5</f>
        <v>Mexico</v>
      </c>
      <c r="H30" s="7" t="str">
        <f>[22]Sheet2!$H$8</f>
        <v>1</v>
      </c>
      <c r="I30" s="7">
        <f t="shared" si="11"/>
        <v>1</v>
      </c>
      <c r="J30" s="15">
        <f>[23]Sheet2!$H$9</f>
        <v>0.88147908996282487</v>
      </c>
      <c r="K30" s="19">
        <f>[22]Sheet2!$D$9</f>
        <v>14.558212382659107</v>
      </c>
      <c r="L30" s="9">
        <f>[22]Sheet2!$D$7</f>
        <v>43923</v>
      </c>
      <c r="N30" s="8">
        <f t="shared" si="0"/>
        <v>-91.573999999999998</v>
      </c>
      <c r="O30" s="8">
        <f t="shared" si="1"/>
        <v>17.774000000000001</v>
      </c>
      <c r="P30" s="8">
        <f t="shared" si="2"/>
        <v>9999</v>
      </c>
      <c r="Q30" s="8">
        <f t="shared" si="3"/>
        <v>9999</v>
      </c>
      <c r="R30" s="8">
        <f t="shared" si="4"/>
        <v>9999</v>
      </c>
      <c r="S30" s="8">
        <f t="shared" si="5"/>
        <v>9999</v>
      </c>
      <c r="T30" s="8">
        <f t="shared" si="6"/>
        <v>9999</v>
      </c>
      <c r="U30" s="8">
        <f t="shared" si="7"/>
        <v>9999</v>
      </c>
      <c r="V30" s="8">
        <f t="shared" si="8"/>
        <v>9999</v>
      </c>
      <c r="W30" s="8">
        <f t="shared" si="9"/>
        <v>9999</v>
      </c>
    </row>
    <row r="31" spans="1:23" x14ac:dyDescent="0.2">
      <c r="A31" s="7">
        <v>64</v>
      </c>
      <c r="B31" s="7"/>
      <c r="C31" s="8">
        <f>[24]Sheet2!$J$5</f>
        <v>-17.505000000000003</v>
      </c>
      <c r="D31" s="8">
        <f>[24]Sheet2!$J$4</f>
        <v>24.615000000000002</v>
      </c>
      <c r="E31" s="7">
        <f>[24]Sheet2!$D$8</f>
        <v>21619.587336745273</v>
      </c>
      <c r="F31" s="7" t="str">
        <f>[24]Sheet2!$G$4</f>
        <v>Zambezi</v>
      </c>
      <c r="G31" s="7" t="str">
        <f>[24]Sheet2!$G$5</f>
        <v>Namibia</v>
      </c>
      <c r="H31" s="7" t="str">
        <f>[24]Sheet2!$H$8</f>
        <v>3</v>
      </c>
      <c r="I31" s="7">
        <f t="shared" si="11"/>
        <v>3</v>
      </c>
      <c r="J31" s="15">
        <f>[24]Sheet2!$H$9</f>
        <v>2.2688495168756928</v>
      </c>
      <c r="K31" s="19">
        <f>[24]Sheet2!$D$9</f>
        <v>37.941971524903202</v>
      </c>
      <c r="L31" s="9">
        <f>[24]Sheet2!$D$7</f>
        <v>43923</v>
      </c>
      <c r="N31" s="8">
        <f t="shared" si="0"/>
        <v>9999</v>
      </c>
      <c r="O31" s="8">
        <f t="shared" si="1"/>
        <v>9999</v>
      </c>
      <c r="P31" s="8">
        <f t="shared" si="2"/>
        <v>9999</v>
      </c>
      <c r="Q31" s="8">
        <f t="shared" si="3"/>
        <v>9999</v>
      </c>
      <c r="R31" s="8">
        <f t="shared" si="4"/>
        <v>24.615000000000002</v>
      </c>
      <c r="S31" s="8">
        <f t="shared" si="5"/>
        <v>-17.505000000000003</v>
      </c>
      <c r="T31" s="8">
        <f t="shared" si="6"/>
        <v>9999</v>
      </c>
      <c r="U31" s="8">
        <f t="shared" si="7"/>
        <v>9999</v>
      </c>
      <c r="V31" s="8">
        <f t="shared" si="8"/>
        <v>9999</v>
      </c>
      <c r="W31" s="8">
        <f t="shared" si="9"/>
        <v>9999</v>
      </c>
    </row>
    <row r="32" spans="1:23" x14ac:dyDescent="0.2">
      <c r="A32" s="7">
        <v>68</v>
      </c>
      <c r="B32" s="7"/>
      <c r="C32" s="8">
        <f>[25]Sheet2!$J$5</f>
        <v>31.904</v>
      </c>
      <c r="D32" s="8">
        <f>[25]Sheet2!$J$4</f>
        <v>73.125</v>
      </c>
      <c r="E32" s="7">
        <f>[25]Sheet2!$D$8</f>
        <v>1488.5524725871062</v>
      </c>
      <c r="F32" s="7" t="str">
        <f>[25]Sheet2!$G$4</f>
        <v>Chenab</v>
      </c>
      <c r="G32" s="7" t="str">
        <f>[25]Sheet2!$G$5</f>
        <v>Pakistan</v>
      </c>
      <c r="H32" s="7" t="str">
        <f>[25]Sheet2!$H$8</f>
        <v>2</v>
      </c>
      <c r="I32" s="7">
        <f t="shared" si="11"/>
        <v>2</v>
      </c>
      <c r="J32" s="15">
        <f>[25]Sheet2!$H$9</f>
        <v>2.2462935448241148</v>
      </c>
      <c r="K32" s="19">
        <f>[25]Sheet2!$D$9</f>
        <v>14.677144043442595</v>
      </c>
      <c r="L32" s="9">
        <f>[25]Sheet2!$D$7</f>
        <v>43922</v>
      </c>
      <c r="N32" s="8">
        <f t="shared" ref="N32:N53" si="12">IF($I32=1,$D32,9999)</f>
        <v>9999</v>
      </c>
      <c r="O32" s="8">
        <f t="shared" ref="O32:O53" si="13">IF($I32=1,$C32,9999)</f>
        <v>9999</v>
      </c>
      <c r="P32" s="8">
        <f t="shared" ref="P32:P53" si="14">IF($I32=2,$D32,9999)</f>
        <v>73.125</v>
      </c>
      <c r="Q32" s="8">
        <f t="shared" ref="Q32:Q53" si="15">IF($I32=2,$C32,9999)</f>
        <v>31.904</v>
      </c>
      <c r="R32" s="8">
        <f t="shared" ref="R32:R53" si="16">IF($I32=3,$D32,9999)</f>
        <v>9999</v>
      </c>
      <c r="S32" s="8">
        <f t="shared" ref="S32:S53" si="17">IF($I32=3,$C32,9999)</f>
        <v>9999</v>
      </c>
      <c r="T32" s="8">
        <f t="shared" ref="T32:T53" si="18">IF($I32=4,$D32,9999)</f>
        <v>9999</v>
      </c>
      <c r="U32" s="8">
        <f t="shared" ref="U32:U53" si="19">IF($I32=4,$C32,9999)</f>
        <v>9999</v>
      </c>
      <c r="V32" s="8">
        <f t="shared" ref="V32:V53" si="20">IF($I32=0,$D32,9999)</f>
        <v>9999</v>
      </c>
      <c r="W32" s="8">
        <f t="shared" ref="W32:W53" si="21">IF($I32=0,$C32,9999)</f>
        <v>9999</v>
      </c>
    </row>
    <row r="33" spans="1:23" x14ac:dyDescent="0.2">
      <c r="A33" s="7">
        <v>70</v>
      </c>
      <c r="B33" s="7"/>
      <c r="C33" s="8">
        <f>[26]Sheet2!$J$5</f>
        <v>-7.7850000000000001</v>
      </c>
      <c r="D33" s="8">
        <f>[26]Sheet2!$J$4</f>
        <v>141.61500000000001</v>
      </c>
      <c r="E33" s="7">
        <f>[26]Sheet2!$D$8</f>
        <v>5692.7282235342855</v>
      </c>
      <c r="F33" s="7" t="str">
        <f>[26]Sheet2!$G$4</f>
        <v>Fly</v>
      </c>
      <c r="G33" s="7" t="str">
        <f>[26]Sheet2!$G$5</f>
        <v>Papua New Guinea</v>
      </c>
      <c r="H33" s="7" t="str">
        <f>[26]Sheet2!$H$8</f>
        <v>1</v>
      </c>
      <c r="I33" s="7">
        <f t="shared" si="11"/>
        <v>1</v>
      </c>
      <c r="J33" s="15">
        <f>[26]Sheet2!$H$9</f>
        <v>0.71102845918598134</v>
      </c>
      <c r="K33" s="19">
        <f>[26]Sheet2!$D$9</f>
        <v>54.926476646830125</v>
      </c>
      <c r="L33" s="9">
        <f>[26]Sheet2!$D$7</f>
        <v>43922</v>
      </c>
      <c r="N33" s="8">
        <f t="shared" si="12"/>
        <v>141.61500000000001</v>
      </c>
      <c r="O33" s="8">
        <f t="shared" si="13"/>
        <v>-7.7850000000000001</v>
      </c>
      <c r="P33" s="8">
        <f t="shared" si="14"/>
        <v>9999</v>
      </c>
      <c r="Q33" s="8">
        <f t="shared" si="15"/>
        <v>9999</v>
      </c>
      <c r="R33" s="8">
        <f t="shared" si="16"/>
        <v>9999</v>
      </c>
      <c r="S33" s="8">
        <f t="shared" si="17"/>
        <v>9999</v>
      </c>
      <c r="T33" s="8">
        <f t="shared" si="18"/>
        <v>9999</v>
      </c>
      <c r="U33" s="8">
        <f t="shared" si="19"/>
        <v>9999</v>
      </c>
      <c r="V33" s="8">
        <f t="shared" si="20"/>
        <v>9999</v>
      </c>
      <c r="W33" s="8">
        <f t="shared" si="21"/>
        <v>9999</v>
      </c>
    </row>
    <row r="34" spans="1:23" x14ac:dyDescent="0.2">
      <c r="A34" s="7">
        <v>84</v>
      </c>
      <c r="B34" s="7"/>
      <c r="C34" s="8">
        <f>[27]Sheet2!$J$5</f>
        <v>16.963999999999999</v>
      </c>
      <c r="D34" s="8">
        <f>[27]Sheet2!$J$4</f>
        <v>104.715</v>
      </c>
      <c r="E34" s="7">
        <f>[27]Sheet2!$D$8</f>
        <v>10359.779426064582</v>
      </c>
      <c r="F34" s="7" t="str">
        <f>[27]Sheet2!$G$4</f>
        <v>Mekong</v>
      </c>
      <c r="G34" s="7" t="str">
        <f>[27]Sheet2!$G$5</f>
        <v>Thailand</v>
      </c>
      <c r="H34" s="7" t="str">
        <f>[27]Sheet2!$H$8</f>
        <v>2</v>
      </c>
      <c r="I34" s="7">
        <f t="shared" si="11"/>
        <v>2</v>
      </c>
      <c r="J34" s="15">
        <f>[27]Sheet2!$H$9</f>
        <v>1.6771199749974164</v>
      </c>
      <c r="K34" s="19">
        <f>[27]Sheet2!$D$9</f>
        <v>17.450713289261714</v>
      </c>
      <c r="L34" s="9">
        <f>[27]Sheet2!$D$7</f>
        <v>43922</v>
      </c>
      <c r="N34" s="8">
        <f t="shared" si="12"/>
        <v>9999</v>
      </c>
      <c r="O34" s="8">
        <f t="shared" si="13"/>
        <v>9999</v>
      </c>
      <c r="P34" s="8">
        <f t="shared" si="14"/>
        <v>104.715</v>
      </c>
      <c r="Q34" s="8">
        <f t="shared" si="15"/>
        <v>16.963999999999999</v>
      </c>
      <c r="R34" s="8">
        <f t="shared" si="16"/>
        <v>9999</v>
      </c>
      <c r="S34" s="8">
        <f t="shared" si="17"/>
        <v>9999</v>
      </c>
      <c r="T34" s="8">
        <f t="shared" si="18"/>
        <v>9999</v>
      </c>
      <c r="U34" s="8">
        <f t="shared" si="19"/>
        <v>9999</v>
      </c>
      <c r="V34" s="8">
        <f t="shared" si="20"/>
        <v>9999</v>
      </c>
      <c r="W34" s="8">
        <f t="shared" si="21"/>
        <v>9999</v>
      </c>
    </row>
    <row r="35" spans="1:23" x14ac:dyDescent="0.2">
      <c r="A35" s="7">
        <v>87</v>
      </c>
      <c r="B35" s="7"/>
      <c r="C35" s="8">
        <f>[28]Sheet2!$J$5</f>
        <v>48.463999999999999</v>
      </c>
      <c r="D35" s="8">
        <f>[28]Sheet2!$J$4</f>
        <v>-97.153999999999996</v>
      </c>
      <c r="E35" s="7">
        <f>[28]Sheet2!$D$8</f>
        <v>530.93332816766713</v>
      </c>
      <c r="F35" s="7" t="str">
        <f>[28]Sheet2!$G$4</f>
        <v>Red</v>
      </c>
      <c r="G35" s="7" t="str">
        <f>[28]Sheet2!$G$5</f>
        <v>USA</v>
      </c>
      <c r="H35" s="7" t="str">
        <f>[28]Sheet2!$H$8</f>
        <v>2</v>
      </c>
      <c r="I35" s="7">
        <f t="shared" ref="I35" si="22">VALUE(H35)</f>
        <v>2</v>
      </c>
      <c r="J35" s="15">
        <f>[28]Sheet2!$H$9</f>
        <v>0.91849538756862525</v>
      </c>
      <c r="K35" s="19">
        <f>[28]Sheet2!$D$9</f>
        <v>2.9026748244566605</v>
      </c>
      <c r="L35" s="9">
        <f>[28]Sheet2!$D$7</f>
        <v>43923</v>
      </c>
      <c r="N35" s="8">
        <f t="shared" si="12"/>
        <v>9999</v>
      </c>
      <c r="O35" s="8">
        <f t="shared" si="13"/>
        <v>9999</v>
      </c>
      <c r="P35" s="8">
        <f t="shared" si="14"/>
        <v>-97.153999999999996</v>
      </c>
      <c r="Q35" s="8">
        <f t="shared" si="15"/>
        <v>48.463999999999999</v>
      </c>
      <c r="R35" s="8">
        <f t="shared" si="16"/>
        <v>9999</v>
      </c>
      <c r="S35" s="8">
        <f t="shared" si="17"/>
        <v>9999</v>
      </c>
      <c r="T35" s="8">
        <f t="shared" si="18"/>
        <v>9999</v>
      </c>
      <c r="U35" s="8">
        <f t="shared" si="19"/>
        <v>9999</v>
      </c>
      <c r="V35" s="8">
        <f t="shared" si="20"/>
        <v>9999</v>
      </c>
      <c r="W35" s="8">
        <f t="shared" si="21"/>
        <v>9999</v>
      </c>
    </row>
    <row r="36" spans="1:23" x14ac:dyDescent="0.2">
      <c r="A36" s="7">
        <v>88</v>
      </c>
      <c r="B36" s="7"/>
      <c r="C36" s="8">
        <f>[29]Sheet2!$J$5</f>
        <v>38.653999999999996</v>
      </c>
      <c r="D36" s="8">
        <f>[29]Sheet2!$J$4</f>
        <v>-121.634</v>
      </c>
      <c r="E36" s="7">
        <f>[29]Sheet2!$D$8</f>
        <v>1389.8690771220708</v>
      </c>
      <c r="F36" s="7" t="str">
        <f>[29]Sheet2!$G$4</f>
        <v>Sacramento</v>
      </c>
      <c r="G36" s="7" t="str">
        <f>[29]Sheet2!$G$5</f>
        <v>USA</v>
      </c>
      <c r="H36" s="7" t="str">
        <f>[29]Sheet2!$H$8</f>
        <v>2</v>
      </c>
      <c r="I36" s="7">
        <f t="shared" ref="I36" si="23">VALUE(H36)</f>
        <v>2</v>
      </c>
      <c r="J36" s="15" t="e">
        <f>[29]Sheet2!$H$9</f>
        <v>#N/A</v>
      </c>
      <c r="K36" s="19">
        <f>[29]Sheet2!$D$9</f>
        <v>0</v>
      </c>
      <c r="L36" s="9">
        <f>[29]Sheet2!$D$7</f>
        <v>43855</v>
      </c>
      <c r="N36" s="8">
        <f t="shared" si="12"/>
        <v>9999</v>
      </c>
      <c r="O36" s="8">
        <f t="shared" si="13"/>
        <v>9999</v>
      </c>
      <c r="P36" s="8">
        <f t="shared" si="14"/>
        <v>-121.634</v>
      </c>
      <c r="Q36" s="8">
        <f t="shared" si="15"/>
        <v>38.653999999999996</v>
      </c>
      <c r="R36" s="8">
        <f t="shared" si="16"/>
        <v>9999</v>
      </c>
      <c r="S36" s="8">
        <f t="shared" si="17"/>
        <v>9999</v>
      </c>
      <c r="T36" s="8">
        <f t="shared" si="18"/>
        <v>9999</v>
      </c>
      <c r="U36" s="8">
        <f t="shared" si="19"/>
        <v>9999</v>
      </c>
      <c r="V36" s="8">
        <f t="shared" si="20"/>
        <v>9999</v>
      </c>
      <c r="W36" s="8">
        <f t="shared" si="21"/>
        <v>9999</v>
      </c>
    </row>
    <row r="37" spans="1:23" x14ac:dyDescent="0.2">
      <c r="A37" s="7">
        <v>91</v>
      </c>
      <c r="B37" s="7"/>
      <c r="C37" s="8">
        <f>[30]Sheet2!$J$5</f>
        <v>38.204000000000001</v>
      </c>
      <c r="D37" s="8">
        <f>[30]Sheet2!$J$4</f>
        <v>-87.974000000000004</v>
      </c>
      <c r="E37" s="7">
        <f>[30]Sheet2!$D$8</f>
        <v>6314.1755367791839</v>
      </c>
      <c r="F37" s="7" t="str">
        <f>[30]Sheet2!$G$4</f>
        <v>Wabash</v>
      </c>
      <c r="G37" s="7" t="str">
        <f>[30]Sheet2!$G$5</f>
        <v>USA</v>
      </c>
      <c r="H37" s="7" t="str">
        <f>[30]Sheet2!$H$8</f>
        <v>3</v>
      </c>
      <c r="I37" s="7">
        <f>VALUE(H37)</f>
        <v>3</v>
      </c>
      <c r="J37" s="15" t="e">
        <f>[30]Sheet2!$H$9</f>
        <v>#N/A</v>
      </c>
      <c r="K37" s="19">
        <f>[30]Sheet2!$D$9</f>
        <v>0</v>
      </c>
      <c r="L37" s="9">
        <f>[30]Sheet2!$D$7</f>
        <v>43854</v>
      </c>
      <c r="N37" s="8">
        <f t="shared" si="12"/>
        <v>9999</v>
      </c>
      <c r="O37" s="8">
        <f t="shared" si="13"/>
        <v>9999</v>
      </c>
      <c r="P37" s="8">
        <f t="shared" si="14"/>
        <v>9999</v>
      </c>
      <c r="Q37" s="8">
        <f t="shared" si="15"/>
        <v>9999</v>
      </c>
      <c r="R37" s="8">
        <f t="shared" si="16"/>
        <v>-87.974000000000004</v>
      </c>
      <c r="S37" s="8">
        <f t="shared" si="17"/>
        <v>38.204000000000001</v>
      </c>
      <c r="T37" s="8">
        <f t="shared" si="18"/>
        <v>9999</v>
      </c>
      <c r="U37" s="8">
        <f t="shared" si="19"/>
        <v>9999</v>
      </c>
      <c r="V37" s="8">
        <f t="shared" si="20"/>
        <v>9999</v>
      </c>
      <c r="W37" s="8">
        <f t="shared" si="21"/>
        <v>9999</v>
      </c>
    </row>
    <row r="38" spans="1:23" x14ac:dyDescent="0.2">
      <c r="A38" s="7">
        <v>94</v>
      </c>
      <c r="B38" s="7"/>
      <c r="C38" s="8">
        <f>[31]Sheet2!$J$5</f>
        <v>-11.385</v>
      </c>
      <c r="D38" s="8">
        <f>[31]Sheet2!$J$4</f>
        <v>30.555</v>
      </c>
      <c r="E38" s="7">
        <f>[31]Sheet2!$D$8</f>
        <v>8339.5854934706058</v>
      </c>
      <c r="F38" s="7" t="str">
        <f>[31]Sheet2!$G$4</f>
        <v>Chambeshi</v>
      </c>
      <c r="G38" s="7" t="str">
        <f>[31]Sheet2!$G$5</f>
        <v>Zambia</v>
      </c>
      <c r="H38" s="7" t="str">
        <f>[31]Sheet2!$H$8</f>
        <v>4</v>
      </c>
      <c r="I38" s="7">
        <f>VALUE(H38)</f>
        <v>4</v>
      </c>
      <c r="J38" s="15">
        <f>[31]Sheet2!$H$9</f>
        <v>2.5903968334279575</v>
      </c>
      <c r="K38" s="19">
        <f>[31]Sheet2!$D$9</f>
        <v>95.00888511939003</v>
      </c>
      <c r="L38" s="9">
        <f>[31]Sheet2!$D$7</f>
        <v>43923</v>
      </c>
      <c r="N38" s="8">
        <f t="shared" si="12"/>
        <v>9999</v>
      </c>
      <c r="O38" s="8">
        <f t="shared" si="13"/>
        <v>9999</v>
      </c>
      <c r="P38" s="8">
        <f t="shared" si="14"/>
        <v>9999</v>
      </c>
      <c r="Q38" s="8">
        <f t="shared" si="15"/>
        <v>9999</v>
      </c>
      <c r="R38" s="8">
        <f t="shared" si="16"/>
        <v>9999</v>
      </c>
      <c r="S38" s="8">
        <f t="shared" si="17"/>
        <v>9999</v>
      </c>
      <c r="T38" s="8">
        <f t="shared" si="18"/>
        <v>30.555</v>
      </c>
      <c r="U38" s="8">
        <f t="shared" si="19"/>
        <v>-11.385</v>
      </c>
      <c r="V38" s="8">
        <f t="shared" si="20"/>
        <v>9999</v>
      </c>
      <c r="W38" s="8">
        <f t="shared" si="21"/>
        <v>9999</v>
      </c>
    </row>
    <row r="39" spans="1:23" x14ac:dyDescent="0.2">
      <c r="A39" s="7">
        <v>99</v>
      </c>
      <c r="B39" s="7"/>
      <c r="C39" s="8">
        <f>[32]Sheet2!$J$5</f>
        <v>-19.395000000000003</v>
      </c>
      <c r="D39" s="8">
        <f>[32]Sheet2!$J$4</f>
        <v>140.80500000000001</v>
      </c>
      <c r="E39" s="7">
        <f>[32]Sheet2!$D$8</f>
        <v>0</v>
      </c>
      <c r="F39" s="7" t="str">
        <f>[32]Sheet2!$G$4</f>
        <v>Flinders</v>
      </c>
      <c r="G39" s="7" t="str">
        <f>[32]Sheet2!$G$5</f>
        <v>Australia</v>
      </c>
      <c r="H39" s="7" t="str">
        <f>[32]Sheet2!$H$8</f>
        <v>2</v>
      </c>
      <c r="I39" s="7">
        <f t="shared" ref="I39:I49" si="24">VALUE(H39)</f>
        <v>2</v>
      </c>
      <c r="J39" s="15">
        <f>[32]Sheet2!$H$9</f>
        <v>0</v>
      </c>
      <c r="K39" s="19">
        <f>[32]Sheet2!$D$9</f>
        <v>0</v>
      </c>
      <c r="L39" s="9">
        <f>[32]Sheet2!$D$7</f>
        <v>43922</v>
      </c>
      <c r="N39" s="8">
        <f t="shared" si="12"/>
        <v>9999</v>
      </c>
      <c r="O39" s="8">
        <f t="shared" si="13"/>
        <v>9999</v>
      </c>
      <c r="P39" s="8">
        <f t="shared" si="14"/>
        <v>140.80500000000001</v>
      </c>
      <c r="Q39" s="8">
        <f t="shared" si="15"/>
        <v>-19.395000000000003</v>
      </c>
      <c r="R39" s="8">
        <f t="shared" si="16"/>
        <v>9999</v>
      </c>
      <c r="S39" s="8">
        <f t="shared" si="17"/>
        <v>9999</v>
      </c>
      <c r="T39" s="8">
        <f t="shared" si="18"/>
        <v>9999</v>
      </c>
      <c r="U39" s="8">
        <f t="shared" si="19"/>
        <v>9999</v>
      </c>
      <c r="V39" s="8">
        <f t="shared" si="20"/>
        <v>9999</v>
      </c>
      <c r="W39" s="8">
        <f t="shared" si="21"/>
        <v>9999</v>
      </c>
    </row>
    <row r="40" spans="1:23" x14ac:dyDescent="0.2">
      <c r="A40" s="7">
        <v>100</v>
      </c>
      <c r="B40" s="7"/>
      <c r="C40" s="8">
        <f>[33]Sheet2!$J$5</f>
        <v>-20.204999999999998</v>
      </c>
      <c r="D40" s="8">
        <f>[33]Sheet2!$J$4</f>
        <v>141.16500000000002</v>
      </c>
      <c r="E40" s="7">
        <f>[33]Sheet2!$D$8</f>
        <v>38.87197105563871</v>
      </c>
      <c r="F40" s="7" t="str">
        <f>[33]Sheet2!$G$4</f>
        <v>Flinders</v>
      </c>
      <c r="G40" s="7" t="str">
        <f>[33]Sheet2!$G$5</f>
        <v>Australia</v>
      </c>
      <c r="H40" s="7" t="str">
        <f>[33]Sheet2!$H$8</f>
        <v>2</v>
      </c>
      <c r="I40" s="7">
        <f t="shared" si="24"/>
        <v>2</v>
      </c>
      <c r="J40" s="15">
        <f>[33]Sheet2!$H$9</f>
        <v>0.76935472524386839</v>
      </c>
      <c r="K40" s="19">
        <f>[33]Sheet2!$D$9</f>
        <v>1.1318808871122774</v>
      </c>
      <c r="L40" s="9">
        <f>[33]Sheet2!$D$7</f>
        <v>43922</v>
      </c>
      <c r="N40" s="8">
        <f t="shared" si="12"/>
        <v>9999</v>
      </c>
      <c r="O40" s="8">
        <f t="shared" si="13"/>
        <v>9999</v>
      </c>
      <c r="P40" s="8">
        <f t="shared" si="14"/>
        <v>141.16500000000002</v>
      </c>
      <c r="Q40" s="8">
        <f t="shared" si="15"/>
        <v>-20.204999999999998</v>
      </c>
      <c r="R40" s="8">
        <f t="shared" si="16"/>
        <v>9999</v>
      </c>
      <c r="S40" s="8">
        <f t="shared" si="17"/>
        <v>9999</v>
      </c>
      <c r="T40" s="8">
        <f t="shared" si="18"/>
        <v>9999</v>
      </c>
      <c r="U40" s="8">
        <f t="shared" si="19"/>
        <v>9999</v>
      </c>
      <c r="V40" s="8">
        <f t="shared" si="20"/>
        <v>9999</v>
      </c>
      <c r="W40" s="8">
        <f t="shared" si="21"/>
        <v>9999</v>
      </c>
    </row>
    <row r="41" spans="1:23" x14ac:dyDescent="0.2">
      <c r="A41" s="7">
        <v>101</v>
      </c>
      <c r="B41" s="7"/>
      <c r="C41" s="8">
        <f>[34]Sheet2!$J$5</f>
        <v>-18.225000000000001</v>
      </c>
      <c r="D41" s="8">
        <f>[34]Sheet2!$J$4</f>
        <v>139.905</v>
      </c>
      <c r="E41" s="7">
        <f>[34]Sheet2!$D$8</f>
        <v>0</v>
      </c>
      <c r="F41" s="7" t="str">
        <f>[34]Sheet2!$G$4</f>
        <v>Leichart</v>
      </c>
      <c r="G41" s="7" t="str">
        <f>[34]Sheet2!$G$5</f>
        <v>Australia</v>
      </c>
      <c r="H41" s="7" t="str">
        <f>[34]Sheet2!$H$8</f>
        <v>1</v>
      </c>
      <c r="I41" s="7">
        <f t="shared" si="24"/>
        <v>1</v>
      </c>
      <c r="J41" s="15">
        <f>[34]Sheet2!$H$9</f>
        <v>0</v>
      </c>
      <c r="K41" s="19">
        <f>[34]Sheet2!$D$9</f>
        <v>0</v>
      </c>
      <c r="L41" s="9">
        <f>[34]Sheet2!$D$7</f>
        <v>43922</v>
      </c>
      <c r="N41" s="8">
        <f t="shared" si="12"/>
        <v>139.905</v>
      </c>
      <c r="O41" s="8">
        <f t="shared" si="13"/>
        <v>-18.225000000000001</v>
      </c>
      <c r="P41" s="8">
        <f t="shared" si="14"/>
        <v>9999</v>
      </c>
      <c r="Q41" s="8">
        <f t="shared" si="15"/>
        <v>9999</v>
      </c>
      <c r="R41" s="8">
        <f t="shared" si="16"/>
        <v>9999</v>
      </c>
      <c r="S41" s="8">
        <f t="shared" si="17"/>
        <v>9999</v>
      </c>
      <c r="T41" s="8">
        <f t="shared" si="18"/>
        <v>9999</v>
      </c>
      <c r="U41" s="8">
        <f t="shared" si="19"/>
        <v>9999</v>
      </c>
      <c r="V41" s="8">
        <f t="shared" si="20"/>
        <v>9999</v>
      </c>
      <c r="W41" s="8">
        <f t="shared" si="21"/>
        <v>9999</v>
      </c>
    </row>
    <row r="42" spans="1:23" x14ac:dyDescent="0.2">
      <c r="A42" s="7">
        <v>103</v>
      </c>
      <c r="B42" s="7"/>
      <c r="C42" s="8">
        <f>[35]Sheet2!$J$5</f>
        <v>-18.765000000000001</v>
      </c>
      <c r="D42" s="8">
        <f>[35]Sheet2!$J$4</f>
        <v>139.815</v>
      </c>
      <c r="E42" s="7">
        <f>[35]Sheet2!$D$8</f>
        <v>0</v>
      </c>
      <c r="F42" s="7" t="str">
        <f>[35]Sheet2!$G$4</f>
        <v>Leichart</v>
      </c>
      <c r="G42" s="7" t="str">
        <f>[35]Sheet2!$G$5</f>
        <v>Australia</v>
      </c>
      <c r="H42" s="7" t="str">
        <f>[35]Sheet2!$H$8</f>
        <v>2</v>
      </c>
      <c r="I42" s="7">
        <f t="shared" ref="I42" si="25">VALUE(H42)</f>
        <v>2</v>
      </c>
      <c r="J42" s="15">
        <f>[35]Sheet2!$H$9</f>
        <v>0</v>
      </c>
      <c r="K42" s="19">
        <f>[36]Sheet2!$D$9</f>
        <v>20.331888147137771</v>
      </c>
      <c r="L42" s="9">
        <f>[35]Sheet2!$D$7</f>
        <v>43922</v>
      </c>
      <c r="N42" s="8">
        <f t="shared" si="12"/>
        <v>9999</v>
      </c>
      <c r="O42" s="8">
        <f t="shared" si="13"/>
        <v>9999</v>
      </c>
      <c r="P42" s="8">
        <f t="shared" si="14"/>
        <v>139.815</v>
      </c>
      <c r="Q42" s="8">
        <f t="shared" si="15"/>
        <v>-18.765000000000001</v>
      </c>
      <c r="R42" s="8">
        <f t="shared" si="16"/>
        <v>9999</v>
      </c>
      <c r="S42" s="8">
        <f t="shared" si="17"/>
        <v>9999</v>
      </c>
      <c r="T42" s="8">
        <f t="shared" si="18"/>
        <v>9999</v>
      </c>
      <c r="U42" s="8">
        <f t="shared" si="19"/>
        <v>9999</v>
      </c>
      <c r="V42" s="8">
        <f t="shared" si="20"/>
        <v>9999</v>
      </c>
      <c r="W42" s="8">
        <f t="shared" si="21"/>
        <v>9999</v>
      </c>
    </row>
    <row r="43" spans="1:23" x14ac:dyDescent="0.2">
      <c r="A43" s="7">
        <v>104</v>
      </c>
      <c r="B43" s="7"/>
      <c r="C43" s="8">
        <f>[37]Sheet2!$J$5</f>
        <v>-23.625</v>
      </c>
      <c r="D43" s="8">
        <f>[37]Sheet2!$J$4</f>
        <v>139.815</v>
      </c>
      <c r="E43" s="7">
        <f>[37]Sheet2!$D$8</f>
        <v>37.568871082040026</v>
      </c>
      <c r="F43" s="7" t="str">
        <f>[37]Sheet2!$G$4</f>
        <v>Georgina</v>
      </c>
      <c r="G43" s="7" t="str">
        <f>[37]Sheet2!$G$5</f>
        <v>Australia</v>
      </c>
      <c r="H43" s="7" t="str">
        <f>[37]Sheet2!$H$8</f>
        <v>2</v>
      </c>
      <c r="I43" s="7">
        <f t="shared" si="24"/>
        <v>2</v>
      </c>
      <c r="J43" s="15">
        <f>[37]Sheet2!$H$9</f>
        <v>0.55102264512840227</v>
      </c>
      <c r="K43" s="19">
        <f>[37]Sheet2!$D$9</f>
        <v>0.14517844892133525</v>
      </c>
      <c r="L43" s="9">
        <f>[37]Sheet2!$D$7</f>
        <v>43922</v>
      </c>
      <c r="N43" s="8">
        <f t="shared" si="12"/>
        <v>9999</v>
      </c>
      <c r="O43" s="8">
        <f t="shared" si="13"/>
        <v>9999</v>
      </c>
      <c r="P43" s="8">
        <f t="shared" si="14"/>
        <v>139.815</v>
      </c>
      <c r="Q43" s="8">
        <f t="shared" si="15"/>
        <v>-23.625</v>
      </c>
      <c r="R43" s="8">
        <f t="shared" si="16"/>
        <v>9999</v>
      </c>
      <c r="S43" s="8">
        <f t="shared" si="17"/>
        <v>9999</v>
      </c>
      <c r="T43" s="8">
        <f t="shared" si="18"/>
        <v>9999</v>
      </c>
      <c r="U43" s="8">
        <f t="shared" si="19"/>
        <v>9999</v>
      </c>
      <c r="V43" s="8">
        <f t="shared" si="20"/>
        <v>9999</v>
      </c>
      <c r="W43" s="8">
        <f t="shared" si="21"/>
        <v>9999</v>
      </c>
    </row>
    <row r="44" spans="1:23" x14ac:dyDescent="0.2">
      <c r="A44" s="7">
        <v>105</v>
      </c>
      <c r="B44" s="7"/>
      <c r="C44" s="8">
        <f>[38]Sheet2!$J$5</f>
        <v>-23.805</v>
      </c>
      <c r="D44" s="8">
        <f>[38]Sheet2!$J$4</f>
        <v>141.07499999999999</v>
      </c>
      <c r="E44" s="7">
        <f>[38]Sheet2!$D$8</f>
        <v>31.174065186383309</v>
      </c>
      <c r="F44" s="7" t="str">
        <f>[38]Sheet2!$G$4</f>
        <v>Diamantina</v>
      </c>
      <c r="G44" s="7" t="str">
        <f>[38]Sheet2!$G$5</f>
        <v>Australia</v>
      </c>
      <c r="H44" s="7" t="str">
        <f>[38]Sheet2!$H$8</f>
        <v>2</v>
      </c>
      <c r="I44" s="7">
        <f t="shared" si="24"/>
        <v>2</v>
      </c>
      <c r="J44" s="15">
        <f>[38]Sheet2!$H$9</f>
        <v>0.67666283672221372</v>
      </c>
      <c r="K44" s="19">
        <f>[38]Sheet2!$D$9</f>
        <v>0.50258008334442428</v>
      </c>
      <c r="L44" s="9">
        <f>[38]Sheet2!$D$7</f>
        <v>43922</v>
      </c>
      <c r="N44" s="8">
        <f t="shared" si="12"/>
        <v>9999</v>
      </c>
      <c r="O44" s="8">
        <f t="shared" si="13"/>
        <v>9999</v>
      </c>
      <c r="P44" s="8">
        <f t="shared" si="14"/>
        <v>141.07499999999999</v>
      </c>
      <c r="Q44" s="8">
        <f t="shared" si="15"/>
        <v>-23.805</v>
      </c>
      <c r="R44" s="8">
        <f t="shared" si="16"/>
        <v>9999</v>
      </c>
      <c r="S44" s="8">
        <f t="shared" si="17"/>
        <v>9999</v>
      </c>
      <c r="T44" s="8">
        <f t="shared" si="18"/>
        <v>9999</v>
      </c>
      <c r="U44" s="8">
        <f t="shared" si="19"/>
        <v>9999</v>
      </c>
      <c r="V44" s="8">
        <f t="shared" si="20"/>
        <v>9999</v>
      </c>
      <c r="W44" s="8">
        <f t="shared" si="21"/>
        <v>9999</v>
      </c>
    </row>
    <row r="45" spans="1:23" x14ac:dyDescent="0.2">
      <c r="A45" s="7">
        <v>106</v>
      </c>
      <c r="B45" s="7"/>
      <c r="C45" s="8">
        <f>[39]Sheet2!$J$5</f>
        <v>-23.805</v>
      </c>
      <c r="D45" s="8">
        <f>[39]Sheet2!$J$4</f>
        <v>143.77499999999998</v>
      </c>
      <c r="E45" s="7">
        <f>[39]Sheet2!$D$8</f>
        <v>0</v>
      </c>
      <c r="F45" s="7" t="str">
        <f>[39]Sheet2!$G$4</f>
        <v>Thomson</v>
      </c>
      <c r="G45" s="7" t="str">
        <f>[39]Sheet2!$G$5</f>
        <v>Australia</v>
      </c>
      <c r="H45" s="7" t="str">
        <f>[39]Sheet2!$H$8</f>
        <v>2</v>
      </c>
      <c r="I45" s="7">
        <f t="shared" si="24"/>
        <v>2</v>
      </c>
      <c r="J45" s="15">
        <f>[39]Sheet2!$H$9</f>
        <v>0</v>
      </c>
      <c r="K45" s="19">
        <f>[39]Sheet2!$D$9</f>
        <v>0</v>
      </c>
      <c r="L45" s="9">
        <f>[39]Sheet2!$D$7</f>
        <v>43922</v>
      </c>
      <c r="N45" s="8">
        <f t="shared" si="12"/>
        <v>9999</v>
      </c>
      <c r="O45" s="8">
        <f t="shared" si="13"/>
        <v>9999</v>
      </c>
      <c r="P45" s="8">
        <f t="shared" si="14"/>
        <v>143.77499999999998</v>
      </c>
      <c r="Q45" s="8">
        <f t="shared" si="15"/>
        <v>-23.805</v>
      </c>
      <c r="R45" s="8">
        <f t="shared" si="16"/>
        <v>9999</v>
      </c>
      <c r="S45" s="8">
        <f t="shared" si="17"/>
        <v>9999</v>
      </c>
      <c r="T45" s="8">
        <f t="shared" si="18"/>
        <v>9999</v>
      </c>
      <c r="U45" s="8">
        <f t="shared" si="19"/>
        <v>9999</v>
      </c>
      <c r="V45" s="8">
        <f t="shared" si="20"/>
        <v>9999</v>
      </c>
      <c r="W45" s="8">
        <f t="shared" si="21"/>
        <v>9999</v>
      </c>
    </row>
    <row r="46" spans="1:23" x14ac:dyDescent="0.2">
      <c r="A46" s="7">
        <v>107</v>
      </c>
      <c r="B46" s="7"/>
      <c r="C46" s="8">
        <f>[40]Sheet2!$J$5</f>
        <v>-25.604999999999997</v>
      </c>
      <c r="D46" s="8">
        <f>[40]Sheet2!$J$4</f>
        <v>142.69499999999999</v>
      </c>
      <c r="E46" s="7">
        <f>[40]Sheet2!$D$8</f>
        <v>0</v>
      </c>
      <c r="F46" s="7" t="str">
        <f>[40]Sheet2!$G$4</f>
        <v>Cooper</v>
      </c>
      <c r="G46" s="7" t="str">
        <f>[40]Sheet2!$G$5</f>
        <v>Australia</v>
      </c>
      <c r="H46" s="7" t="str">
        <f>[40]Sheet2!$H$8</f>
        <v>2</v>
      </c>
      <c r="I46" s="7">
        <f t="shared" si="24"/>
        <v>2</v>
      </c>
      <c r="J46" s="15">
        <f>[40]Sheet2!$H$9</f>
        <v>0</v>
      </c>
      <c r="K46" s="19">
        <f>[40]Sheet2!$D$9</f>
        <v>0</v>
      </c>
      <c r="L46" s="9">
        <f>[40]Sheet2!$D$7</f>
        <v>43922</v>
      </c>
      <c r="N46" s="8">
        <f t="shared" si="12"/>
        <v>9999</v>
      </c>
      <c r="O46" s="8">
        <f t="shared" si="13"/>
        <v>9999</v>
      </c>
      <c r="P46" s="8">
        <f t="shared" si="14"/>
        <v>142.69499999999999</v>
      </c>
      <c r="Q46" s="8">
        <f t="shared" si="15"/>
        <v>-25.604999999999997</v>
      </c>
      <c r="R46" s="8">
        <f t="shared" si="16"/>
        <v>9999</v>
      </c>
      <c r="S46" s="8">
        <f t="shared" si="17"/>
        <v>9999</v>
      </c>
      <c r="T46" s="8">
        <f t="shared" si="18"/>
        <v>9999</v>
      </c>
      <c r="U46" s="8">
        <f t="shared" si="19"/>
        <v>9999</v>
      </c>
      <c r="V46" s="8">
        <f t="shared" si="20"/>
        <v>9999</v>
      </c>
      <c r="W46" s="8">
        <f t="shared" si="21"/>
        <v>9999</v>
      </c>
    </row>
    <row r="47" spans="1:23" x14ac:dyDescent="0.2">
      <c r="A47" s="7">
        <v>108</v>
      </c>
      <c r="B47" s="7"/>
      <c r="C47" s="8">
        <f>[41]Sheet2!$J$5</f>
        <v>24.253999999999998</v>
      </c>
      <c r="D47" s="8">
        <f>[41]Sheet2!$J$4</f>
        <v>94.814999999999998</v>
      </c>
      <c r="E47" s="7">
        <f>[41]Sheet2!$D$8</f>
        <v>1346.5945182022515</v>
      </c>
      <c r="F47" s="7" t="str">
        <f>[41]Sheet2!$G$4</f>
        <v>Chindwin</v>
      </c>
      <c r="G47" s="7" t="str">
        <f>[41]Sheet2!$G$5</f>
        <v>Myanmar</v>
      </c>
      <c r="H47" s="7" t="str">
        <f>[41]Sheet2!$H$8</f>
        <v>2</v>
      </c>
      <c r="I47" s="7">
        <f t="shared" si="24"/>
        <v>2</v>
      </c>
      <c r="J47" s="15">
        <f>[41]Sheet2!$H$9</f>
        <v>1.0121810725353995</v>
      </c>
      <c r="K47" s="19">
        <f>[41]Sheet2!$D$9</f>
        <v>11.512236102276772</v>
      </c>
      <c r="L47" s="9">
        <f>[41]Sheet2!$D$7</f>
        <v>43922</v>
      </c>
      <c r="N47" s="8">
        <f t="shared" si="12"/>
        <v>9999</v>
      </c>
      <c r="O47" s="8">
        <f t="shared" si="13"/>
        <v>9999</v>
      </c>
      <c r="P47" s="8">
        <f t="shared" si="14"/>
        <v>94.814999999999998</v>
      </c>
      <c r="Q47" s="8">
        <f t="shared" si="15"/>
        <v>24.253999999999998</v>
      </c>
      <c r="R47" s="8">
        <f t="shared" si="16"/>
        <v>9999</v>
      </c>
      <c r="S47" s="8">
        <f t="shared" si="17"/>
        <v>9999</v>
      </c>
      <c r="T47" s="8">
        <f t="shared" si="18"/>
        <v>9999</v>
      </c>
      <c r="U47" s="8">
        <f t="shared" si="19"/>
        <v>9999</v>
      </c>
      <c r="V47" s="8">
        <f t="shared" si="20"/>
        <v>9999</v>
      </c>
      <c r="W47" s="8">
        <f t="shared" si="21"/>
        <v>9999</v>
      </c>
    </row>
    <row r="48" spans="1:23" x14ac:dyDescent="0.2">
      <c r="A48" s="7">
        <v>109</v>
      </c>
      <c r="B48" s="7"/>
      <c r="C48" s="8">
        <f>[42]Sheet2!$J$5</f>
        <v>9.8539999999999992</v>
      </c>
      <c r="D48" s="8">
        <f>[42]Sheet2!$J$4</f>
        <v>15.795</v>
      </c>
      <c r="E48" s="7">
        <f>[42]Sheet2!$D$8</f>
        <v>272.94307379996553</v>
      </c>
      <c r="F48" s="7" t="str">
        <f>[42]Sheet2!$G$4</f>
        <v>Logone</v>
      </c>
      <c r="G48" s="7" t="str">
        <f>[42]Sheet2!$G$5</f>
        <v>Chad</v>
      </c>
      <c r="H48" s="7" t="str">
        <f>[42]Sheet2!$H$8</f>
        <v>2</v>
      </c>
      <c r="I48" s="7">
        <f t="shared" si="24"/>
        <v>2</v>
      </c>
      <c r="J48" s="15">
        <f>[42]Sheet2!$H$9</f>
        <v>0.98984918210080186</v>
      </c>
      <c r="K48" s="19">
        <f>[42]Sheet2!$D$9</f>
        <v>2.3956205822448062</v>
      </c>
      <c r="L48" s="9">
        <f>[42]Sheet2!$D$7</f>
        <v>43923</v>
      </c>
      <c r="N48" s="8">
        <f t="shared" si="12"/>
        <v>9999</v>
      </c>
      <c r="O48" s="8">
        <f t="shared" si="13"/>
        <v>9999</v>
      </c>
      <c r="P48" s="8">
        <f t="shared" si="14"/>
        <v>15.795</v>
      </c>
      <c r="Q48" s="8">
        <f t="shared" si="15"/>
        <v>9.8539999999999992</v>
      </c>
      <c r="R48" s="8">
        <f t="shared" si="16"/>
        <v>9999</v>
      </c>
      <c r="S48" s="8">
        <f t="shared" si="17"/>
        <v>9999</v>
      </c>
      <c r="T48" s="8">
        <f t="shared" si="18"/>
        <v>9999</v>
      </c>
      <c r="U48" s="8">
        <f t="shared" si="19"/>
        <v>9999</v>
      </c>
      <c r="V48" s="8">
        <f t="shared" si="20"/>
        <v>9999</v>
      </c>
      <c r="W48" s="8">
        <f t="shared" si="21"/>
        <v>9999</v>
      </c>
    </row>
    <row r="49" spans="1:23" x14ac:dyDescent="0.2">
      <c r="A49" s="7">
        <v>111</v>
      </c>
      <c r="B49" s="7"/>
      <c r="C49" s="8">
        <f>[43]Sheet2!$J$5</f>
        <v>9.2240000000000002</v>
      </c>
      <c r="D49" s="8">
        <f>[43]Sheet2!$J$4</f>
        <v>18.225000000000001</v>
      </c>
      <c r="E49" s="7">
        <f>[43]Sheet2!$D$8</f>
        <v>292.01579076366511</v>
      </c>
      <c r="F49" s="7" t="str">
        <f>[43]Sheet2!$G$4</f>
        <v>Chari</v>
      </c>
      <c r="G49" s="7" t="str">
        <f>[43]Sheet2!$G$5</f>
        <v>Chad</v>
      </c>
      <c r="H49" s="7" t="str">
        <f>[43]Sheet2!$H$8</f>
        <v>2</v>
      </c>
      <c r="I49" s="7">
        <f t="shared" si="24"/>
        <v>2</v>
      </c>
      <c r="J49" s="15">
        <f>[43]Sheet2!$H$9</f>
        <v>0.79376188718734919</v>
      </c>
      <c r="K49" s="19">
        <f>[43]Sheet2!$D$9</f>
        <v>1.8851992087810407</v>
      </c>
      <c r="L49" s="9">
        <f>[43]Sheet2!$D$7</f>
        <v>43923</v>
      </c>
      <c r="N49" s="8">
        <f t="shared" si="12"/>
        <v>9999</v>
      </c>
      <c r="O49" s="8">
        <f t="shared" si="13"/>
        <v>9999</v>
      </c>
      <c r="P49" s="8">
        <f t="shared" si="14"/>
        <v>18.225000000000001</v>
      </c>
      <c r="Q49" s="8">
        <f t="shared" si="15"/>
        <v>9.2240000000000002</v>
      </c>
      <c r="R49" s="8">
        <f t="shared" si="16"/>
        <v>9999</v>
      </c>
      <c r="S49" s="8">
        <f t="shared" si="17"/>
        <v>9999</v>
      </c>
      <c r="T49" s="8">
        <f t="shared" si="18"/>
        <v>9999</v>
      </c>
      <c r="U49" s="8">
        <f t="shared" si="19"/>
        <v>9999</v>
      </c>
      <c r="V49" s="8">
        <f t="shared" si="20"/>
        <v>9999</v>
      </c>
      <c r="W49" s="8">
        <f t="shared" si="21"/>
        <v>9999</v>
      </c>
    </row>
    <row r="50" spans="1:23" x14ac:dyDescent="0.2">
      <c r="A50" s="7">
        <v>114</v>
      </c>
      <c r="B50" s="7"/>
      <c r="C50" s="8">
        <f>[44]Sheet2!$J$5</f>
        <v>28.393999999999998</v>
      </c>
      <c r="D50" s="8">
        <f>[44]Sheet2!$J$4</f>
        <v>115.785</v>
      </c>
      <c r="E50" s="7">
        <f>[44]Sheet2!$D$8</f>
        <v>2725.6188657963662</v>
      </c>
      <c r="F50" s="7" t="str">
        <f>[44]Sheet2!$G$4</f>
        <v>Gan</v>
      </c>
      <c r="G50" s="7" t="str">
        <f>[44]Sheet2!$G$5</f>
        <v>China</v>
      </c>
      <c r="H50" s="7" t="str">
        <f>[44]Sheet2!$H$8</f>
        <v>2</v>
      </c>
      <c r="I50" s="7">
        <f>VALUE(H50)</f>
        <v>2</v>
      </c>
      <c r="J50" s="15">
        <f>[44]Sheet2!$H$9</f>
        <v>0.97920403970028858</v>
      </c>
      <c r="K50" s="19">
        <f>[44]Sheet2!$D$9</f>
        <v>18.27153544365672</v>
      </c>
      <c r="L50" s="9">
        <f>[44]Sheet2!$D$7</f>
        <v>43922</v>
      </c>
      <c r="N50" s="8">
        <f t="shared" si="12"/>
        <v>9999</v>
      </c>
      <c r="O50" s="8">
        <f t="shared" si="13"/>
        <v>9999</v>
      </c>
      <c r="P50" s="8">
        <f t="shared" si="14"/>
        <v>115.785</v>
      </c>
      <c r="Q50" s="8">
        <f t="shared" si="15"/>
        <v>28.393999999999998</v>
      </c>
      <c r="R50" s="8">
        <f t="shared" si="16"/>
        <v>9999</v>
      </c>
      <c r="S50" s="8">
        <f t="shared" si="17"/>
        <v>9999</v>
      </c>
      <c r="T50" s="8">
        <f t="shared" si="18"/>
        <v>9999</v>
      </c>
      <c r="U50" s="8">
        <f t="shared" si="19"/>
        <v>9999</v>
      </c>
      <c r="V50" s="8">
        <f t="shared" si="20"/>
        <v>9999</v>
      </c>
      <c r="W50" s="8">
        <f t="shared" si="21"/>
        <v>9999</v>
      </c>
    </row>
    <row r="51" spans="1:23" x14ac:dyDescent="0.2">
      <c r="A51" s="7">
        <v>116</v>
      </c>
      <c r="B51" s="7"/>
      <c r="C51" s="8">
        <f>[45]Sheet2!$J$5</f>
        <v>29.564</v>
      </c>
      <c r="D51" s="8">
        <f>[45]Sheet2!$J$4</f>
        <v>116.145</v>
      </c>
      <c r="E51" s="7">
        <f>[45]Sheet2!$D$8</f>
        <v>0.86455889198099334</v>
      </c>
      <c r="F51" s="7" t="str">
        <f>[45]Sheet2!$G$4</f>
        <v>Poyang</v>
      </c>
      <c r="G51" s="7" t="str">
        <f>[45]Sheet2!$G$5</f>
        <v>China</v>
      </c>
      <c r="H51" s="7" t="str">
        <f>[45]Sheet2!$H$9</f>
        <v>1</v>
      </c>
      <c r="I51" s="7">
        <f t="shared" ref="I51" si="26">VALUE(H51)</f>
        <v>1</v>
      </c>
      <c r="J51" s="15" t="str">
        <f>[45]Sheet2!$H$9</f>
        <v>1</v>
      </c>
      <c r="K51" s="19">
        <f>[45]Sheet2!$D$9</f>
        <v>0</v>
      </c>
      <c r="L51" s="9">
        <f>[45]Sheet2!$D$7</f>
        <v>43854</v>
      </c>
      <c r="N51" s="8">
        <f t="shared" si="12"/>
        <v>116.145</v>
      </c>
      <c r="O51" s="8">
        <f t="shared" si="13"/>
        <v>29.564</v>
      </c>
      <c r="P51" s="8">
        <f t="shared" si="14"/>
        <v>9999</v>
      </c>
      <c r="Q51" s="8">
        <f t="shared" si="15"/>
        <v>9999</v>
      </c>
      <c r="R51" s="8">
        <f t="shared" si="16"/>
        <v>9999</v>
      </c>
      <c r="S51" s="8">
        <f t="shared" si="17"/>
        <v>9999</v>
      </c>
      <c r="T51" s="8">
        <f t="shared" si="18"/>
        <v>9999</v>
      </c>
      <c r="U51" s="8">
        <f t="shared" si="19"/>
        <v>9999</v>
      </c>
      <c r="V51" s="8">
        <f t="shared" si="20"/>
        <v>9999</v>
      </c>
      <c r="W51" s="8">
        <f t="shared" si="21"/>
        <v>9999</v>
      </c>
    </row>
    <row r="52" spans="1:23" x14ac:dyDescent="0.2">
      <c r="A52" s="7">
        <v>118</v>
      </c>
      <c r="B52" s="7"/>
      <c r="C52" s="8">
        <f>[46]Sheet2!$J$5</f>
        <v>30.823999999999998</v>
      </c>
      <c r="D52" s="8">
        <f>[46]Sheet2!$J$4</f>
        <v>114.795</v>
      </c>
      <c r="E52" s="7">
        <f>[46]Sheet2!$D$8</f>
        <v>125.9112466362309</v>
      </c>
      <c r="F52" s="7" t="str">
        <f>[46]Sheet2!$G$4</f>
        <v>Ju</v>
      </c>
      <c r="G52" s="7" t="str">
        <f>[46]Sheet2!$G$5</f>
        <v>China</v>
      </c>
      <c r="H52" s="7" t="str">
        <f>[46]Sheet2!$H$8</f>
        <v>2</v>
      </c>
      <c r="I52" s="7">
        <f t="shared" ref="I52" si="27">VALUE(H52)</f>
        <v>2</v>
      </c>
      <c r="J52" s="15">
        <f>[46]Sheet2!$H$9</f>
        <v>0.94543822983312464</v>
      </c>
      <c r="K52" s="19">
        <f>[46]Sheet2!$D$9</f>
        <v>26.604344612915778</v>
      </c>
      <c r="L52" s="9">
        <f>[46]Sheet2!$D$7</f>
        <v>43921</v>
      </c>
      <c r="N52" s="8">
        <f t="shared" si="12"/>
        <v>9999</v>
      </c>
      <c r="O52" s="8">
        <f t="shared" si="13"/>
        <v>9999</v>
      </c>
      <c r="P52" s="8">
        <f t="shared" si="14"/>
        <v>114.795</v>
      </c>
      <c r="Q52" s="8">
        <f t="shared" si="15"/>
        <v>30.823999999999998</v>
      </c>
      <c r="R52" s="8">
        <f t="shared" si="16"/>
        <v>9999</v>
      </c>
      <c r="S52" s="8">
        <f t="shared" si="17"/>
        <v>9999</v>
      </c>
      <c r="T52" s="8">
        <f t="shared" si="18"/>
        <v>9999</v>
      </c>
      <c r="U52" s="8">
        <f t="shared" si="19"/>
        <v>9999</v>
      </c>
      <c r="V52" s="8">
        <f t="shared" si="20"/>
        <v>9999</v>
      </c>
      <c r="W52" s="8">
        <f t="shared" si="21"/>
        <v>9999</v>
      </c>
    </row>
    <row r="53" spans="1:23" x14ac:dyDescent="0.2">
      <c r="A53" s="7">
        <v>123</v>
      </c>
      <c r="B53" s="7"/>
      <c r="C53" s="8">
        <f>[47]Sheet2!$J$5</f>
        <v>29.744</v>
      </c>
      <c r="D53" s="8">
        <f>[47]Sheet2!$J$4</f>
        <v>112.63500000000001</v>
      </c>
      <c r="E53" s="7"/>
      <c r="F53" s="7" t="str">
        <f>[47]Sheet2!$G$4</f>
        <v>Yangtze</v>
      </c>
      <c r="G53" s="7" t="str">
        <f>[47]Sheet2!$G$5</f>
        <v>China</v>
      </c>
      <c r="H53" s="7" t="str">
        <f>[47]Sheet2!$H$8</f>
        <v>1</v>
      </c>
      <c r="I53" s="7">
        <f t="shared" ref="I53:I84" si="28">VALUE(H53)</f>
        <v>1</v>
      </c>
      <c r="J53" s="15">
        <f>[47]Sheet2!$H$9</f>
        <v>0.77468515990662223</v>
      </c>
      <c r="K53" s="19">
        <f>[47]Sheet2!$D$9</f>
        <v>456.6758403692977</v>
      </c>
      <c r="L53" s="9">
        <f>[47]Sheet2!$D$7</f>
        <v>43921</v>
      </c>
      <c r="N53" s="8">
        <f t="shared" si="12"/>
        <v>112.63500000000001</v>
      </c>
      <c r="O53" s="8">
        <f t="shared" si="13"/>
        <v>29.744</v>
      </c>
      <c r="P53" s="8">
        <f t="shared" si="14"/>
        <v>9999</v>
      </c>
      <c r="Q53" s="8">
        <f t="shared" si="15"/>
        <v>9999</v>
      </c>
      <c r="R53" s="8">
        <f t="shared" si="16"/>
        <v>9999</v>
      </c>
      <c r="S53" s="8">
        <f t="shared" si="17"/>
        <v>9999</v>
      </c>
      <c r="T53" s="8">
        <f t="shared" si="18"/>
        <v>9999</v>
      </c>
      <c r="U53" s="8">
        <f t="shared" si="19"/>
        <v>9999</v>
      </c>
      <c r="V53" s="8">
        <f t="shared" si="20"/>
        <v>9999</v>
      </c>
      <c r="W53" s="8">
        <f t="shared" si="21"/>
        <v>9999</v>
      </c>
    </row>
    <row r="54" spans="1:23" x14ac:dyDescent="0.2">
      <c r="A54" s="7">
        <v>130</v>
      </c>
      <c r="B54" s="7"/>
      <c r="C54" s="8">
        <f>[48]Sheet2!$J$5</f>
        <v>8.9540000000000006</v>
      </c>
      <c r="D54" s="8">
        <f>[48]Sheet2!$J$4</f>
        <v>-73.933999999999997</v>
      </c>
      <c r="E54" s="7">
        <f>[48]Sheet2!$D$8</f>
        <v>4530.9972059858355</v>
      </c>
      <c r="F54" s="7" t="str">
        <f>[48]Sheet2!$G$4</f>
        <v>Magdalena</v>
      </c>
      <c r="G54" s="7" t="str">
        <f>[48]Sheet2!$G$5</f>
        <v>Colombia</v>
      </c>
      <c r="H54" s="7" t="str">
        <f>[48]Sheet2!$H$8</f>
        <v>2</v>
      </c>
      <c r="I54" s="7">
        <f t="shared" si="28"/>
        <v>2</v>
      </c>
      <c r="J54" s="15">
        <f>[48]Sheet2!$H$9</f>
        <v>0.96696890196706831</v>
      </c>
      <c r="K54" s="19">
        <f>[48]Sheet2!$D$9</f>
        <v>16.815127901190714</v>
      </c>
      <c r="L54" s="9">
        <f>[48]Sheet2!$D$7</f>
        <v>43922</v>
      </c>
      <c r="N54" s="8">
        <f t="shared" ref="N54:N70" si="29">IF($I54=1,$D54,9999)</f>
        <v>9999</v>
      </c>
      <c r="O54" s="8">
        <f t="shared" ref="O54:O70" si="30">IF($I54=1,$C54,9999)</f>
        <v>9999</v>
      </c>
      <c r="P54" s="8">
        <f t="shared" ref="P54:P70" si="31">IF($I54=2,$D54,9999)</f>
        <v>-73.933999999999997</v>
      </c>
      <c r="Q54" s="8">
        <f t="shared" ref="Q54:Q70" si="32">IF($I54=2,$C54,9999)</f>
        <v>8.9540000000000006</v>
      </c>
      <c r="R54" s="8">
        <f t="shared" ref="R54:R70" si="33">IF($I54=3,$D54,9999)</f>
        <v>9999</v>
      </c>
      <c r="S54" s="8">
        <f t="shared" ref="S54:S70" si="34">IF($I54=3,$C54,9999)</f>
        <v>9999</v>
      </c>
      <c r="T54" s="8">
        <f t="shared" ref="T54:T70" si="35">IF($I54=4,$D54,9999)</f>
        <v>9999</v>
      </c>
      <c r="U54" s="8">
        <f t="shared" ref="U54:U70" si="36">IF($I54=4,$C54,9999)</f>
        <v>9999</v>
      </c>
      <c r="V54" s="8">
        <f t="shared" ref="V54:V70" si="37">IF($I54=0,$D54,9999)</f>
        <v>9999</v>
      </c>
      <c r="W54" s="8">
        <f t="shared" ref="W54:W70" si="38">IF($I54=0,$C54,9999)</f>
        <v>9999</v>
      </c>
    </row>
    <row r="55" spans="1:23" x14ac:dyDescent="0.2">
      <c r="A55" s="7">
        <v>132</v>
      </c>
      <c r="B55" s="7"/>
      <c r="C55" s="8">
        <f>[49]Sheet2!$J$5</f>
        <v>7.8740000000000006</v>
      </c>
      <c r="D55" s="8">
        <f>[49]Sheet2!$J$4</f>
        <v>-74.834000000000003</v>
      </c>
      <c r="E55" s="7">
        <f>[49]Sheet2!$D$8</f>
        <v>763.02682919527797</v>
      </c>
      <c r="F55" s="7" t="str">
        <f>[49]Sheet2!$G$4</f>
        <v>Nechi</v>
      </c>
      <c r="G55" s="7" t="str">
        <f>[49]Sheet2!$G$5</f>
        <v>Colombia</v>
      </c>
      <c r="H55" s="7" t="str">
        <f>[49]Sheet2!$H$8</f>
        <v>2</v>
      </c>
      <c r="I55" s="7">
        <f t="shared" si="28"/>
        <v>2</v>
      </c>
      <c r="J55" s="15">
        <f>[49]Sheet2!$H$9</f>
        <v>1.0566382371721681</v>
      </c>
      <c r="K55" s="19">
        <f>[49]Sheet2!$D$9</f>
        <v>31.157632116042169</v>
      </c>
      <c r="L55" s="9">
        <f>[49]Sheet2!$D$7</f>
        <v>43923</v>
      </c>
      <c r="N55" s="8">
        <f t="shared" si="29"/>
        <v>9999</v>
      </c>
      <c r="O55" s="8">
        <f t="shared" si="30"/>
        <v>9999</v>
      </c>
      <c r="P55" s="8">
        <f t="shared" si="31"/>
        <v>-74.834000000000003</v>
      </c>
      <c r="Q55" s="8">
        <f t="shared" si="32"/>
        <v>7.8740000000000006</v>
      </c>
      <c r="R55" s="8">
        <f t="shared" si="33"/>
        <v>9999</v>
      </c>
      <c r="S55" s="8">
        <f t="shared" si="34"/>
        <v>9999</v>
      </c>
      <c r="T55" s="8">
        <f t="shared" si="35"/>
        <v>9999</v>
      </c>
      <c r="U55" s="8">
        <f t="shared" si="36"/>
        <v>9999</v>
      </c>
      <c r="V55" s="8">
        <f t="shared" si="37"/>
        <v>9999</v>
      </c>
      <c r="W55" s="8">
        <f t="shared" si="38"/>
        <v>9999</v>
      </c>
    </row>
    <row r="56" spans="1:23" x14ac:dyDescent="0.2">
      <c r="A56" s="7">
        <v>134</v>
      </c>
      <c r="B56" s="7"/>
      <c r="C56" s="8">
        <f>[36]Sheet2!$J$5</f>
        <v>6.6139999999999999</v>
      </c>
      <c r="D56" s="8">
        <f>[36]Sheet2!$J$4</f>
        <v>-74.293999999999997</v>
      </c>
      <c r="E56" s="7">
        <f>[36]Sheet2!$D$8</f>
        <v>2575.7628448465862</v>
      </c>
      <c r="F56" s="7" t="str">
        <f>[36]Sheet2!$G$4</f>
        <v>Magdalena</v>
      </c>
      <c r="G56" s="7" t="str">
        <f>[36]Sheet2!$G$5</f>
        <v>Colombia</v>
      </c>
      <c r="H56" s="7" t="str">
        <f>[36]Sheet2!$H$8</f>
        <v>2</v>
      </c>
      <c r="I56" s="7">
        <f t="shared" si="28"/>
        <v>2</v>
      </c>
      <c r="J56" s="15">
        <f>[36]Sheet2!$H$9</f>
        <v>0.9498455494803526</v>
      </c>
      <c r="K56" s="19">
        <f>[36]Sheet2!$D$9</f>
        <v>20.331888147137771</v>
      </c>
      <c r="L56" s="9">
        <f>[36]Sheet2!$D$7</f>
        <v>43923</v>
      </c>
      <c r="N56" s="8">
        <f t="shared" si="29"/>
        <v>9999</v>
      </c>
      <c r="O56" s="8">
        <f t="shared" si="30"/>
        <v>9999</v>
      </c>
      <c r="P56" s="8">
        <f t="shared" si="31"/>
        <v>-74.293999999999997</v>
      </c>
      <c r="Q56" s="8">
        <f t="shared" si="32"/>
        <v>6.6139999999999999</v>
      </c>
      <c r="R56" s="8">
        <f t="shared" si="33"/>
        <v>9999</v>
      </c>
      <c r="S56" s="8">
        <f t="shared" si="34"/>
        <v>9999</v>
      </c>
      <c r="T56" s="8">
        <f t="shared" si="35"/>
        <v>9999</v>
      </c>
      <c r="U56" s="8">
        <f t="shared" si="36"/>
        <v>9999</v>
      </c>
      <c r="V56" s="8">
        <f t="shared" si="37"/>
        <v>9999</v>
      </c>
      <c r="W56" s="8">
        <f t="shared" si="38"/>
        <v>9999</v>
      </c>
    </row>
    <row r="57" spans="1:23" x14ac:dyDescent="0.2">
      <c r="A57" s="7">
        <v>135</v>
      </c>
      <c r="B57" s="7"/>
      <c r="C57" s="8">
        <f>[50]Sheet2!$J$5</f>
        <v>9.0440000000000005</v>
      </c>
      <c r="D57" s="8">
        <f>[50]Sheet2!$J$4</f>
        <v>-72.313999999999993</v>
      </c>
      <c r="E57" s="7">
        <f>[50]Sheet2!$D$8</f>
        <v>212.49898710558639</v>
      </c>
      <c r="F57" s="7" t="str">
        <f>[50]Sheet2!$G$4</f>
        <v>Caratumbo</v>
      </c>
      <c r="G57" s="7" t="str">
        <f>[50]Sheet2!$G$5</f>
        <v>Venezuela</v>
      </c>
      <c r="H57" s="7" t="str">
        <f>[50]Sheet2!$H$8</f>
        <v>2</v>
      </c>
      <c r="I57" s="7">
        <f t="shared" si="28"/>
        <v>2</v>
      </c>
      <c r="J57" s="15">
        <f>[50]Sheet2!$H$9</f>
        <v>0.88346931290860264</v>
      </c>
      <c r="K57" s="19">
        <f>[50]Sheet2!$D$9</f>
        <v>13.776653301007563</v>
      </c>
      <c r="L57" s="9">
        <f>[50]Sheet2!$D$7</f>
        <v>43923</v>
      </c>
      <c r="N57" s="8">
        <f t="shared" si="29"/>
        <v>9999</v>
      </c>
      <c r="O57" s="8">
        <f t="shared" si="30"/>
        <v>9999</v>
      </c>
      <c r="P57" s="8">
        <f t="shared" si="31"/>
        <v>-72.313999999999993</v>
      </c>
      <c r="Q57" s="8">
        <f t="shared" si="32"/>
        <v>9.0440000000000005</v>
      </c>
      <c r="R57" s="8">
        <f t="shared" si="33"/>
        <v>9999</v>
      </c>
      <c r="S57" s="8">
        <f t="shared" si="34"/>
        <v>9999</v>
      </c>
      <c r="T57" s="8">
        <f t="shared" si="35"/>
        <v>9999</v>
      </c>
      <c r="U57" s="8">
        <f t="shared" si="36"/>
        <v>9999</v>
      </c>
      <c r="V57" s="8">
        <f t="shared" si="37"/>
        <v>9999</v>
      </c>
      <c r="W57" s="8">
        <f t="shared" si="38"/>
        <v>9999</v>
      </c>
    </row>
    <row r="58" spans="1:23" x14ac:dyDescent="0.2">
      <c r="A58" s="7">
        <v>137</v>
      </c>
      <c r="B58" s="7"/>
      <c r="C58" s="8">
        <f>[51]Sheet2!$J$5</f>
        <v>7.3339999999999996</v>
      </c>
      <c r="D58" s="8">
        <f>[51]Sheet2!$J$4</f>
        <v>-66.644000000000005</v>
      </c>
      <c r="E58" s="7">
        <f>[51]Sheet2!$D$8</f>
        <v>8546.3548293691492</v>
      </c>
      <c r="F58" s="7" t="str">
        <f>[51]Sheet2!$G$4</f>
        <v>Orinoco</v>
      </c>
      <c r="G58" s="7" t="str">
        <f>[51]Sheet2!$G$5</f>
        <v>Venezuela</v>
      </c>
      <c r="H58" s="7" t="str">
        <f>[51]Sheet2!$H$8</f>
        <v>1</v>
      </c>
      <c r="I58" s="7">
        <f t="shared" si="28"/>
        <v>1</v>
      </c>
      <c r="J58" s="15">
        <f>[51]Sheet2!$H$9</f>
        <v>0.72866792126381064</v>
      </c>
      <c r="K58" s="19">
        <f>[51]Sheet2!$D$9</f>
        <v>9.1198288709322064</v>
      </c>
      <c r="L58" s="9">
        <f>[51]Sheet2!$D$7</f>
        <v>43923</v>
      </c>
      <c r="N58" s="8">
        <f t="shared" si="29"/>
        <v>-66.644000000000005</v>
      </c>
      <c r="O58" s="8">
        <f t="shared" si="30"/>
        <v>7.3339999999999996</v>
      </c>
      <c r="P58" s="8">
        <f t="shared" si="31"/>
        <v>9999</v>
      </c>
      <c r="Q58" s="8">
        <f t="shared" si="32"/>
        <v>9999</v>
      </c>
      <c r="R58" s="8">
        <f t="shared" si="33"/>
        <v>9999</v>
      </c>
      <c r="S58" s="8">
        <f t="shared" si="34"/>
        <v>9999</v>
      </c>
      <c r="T58" s="8">
        <f t="shared" si="35"/>
        <v>9999</v>
      </c>
      <c r="U58" s="8">
        <f t="shared" si="36"/>
        <v>9999</v>
      </c>
      <c r="V58" s="8">
        <f t="shared" si="37"/>
        <v>9999</v>
      </c>
      <c r="W58" s="8">
        <f t="shared" si="38"/>
        <v>9999</v>
      </c>
    </row>
    <row r="59" spans="1:23" x14ac:dyDescent="0.2">
      <c r="A59" s="7">
        <v>138</v>
      </c>
      <c r="B59" s="7"/>
      <c r="C59" s="8">
        <f>[52]Sheet2!$J$5</f>
        <v>7.9640000000000004</v>
      </c>
      <c r="D59" s="8">
        <f>[52]Sheet2!$J$4</f>
        <v>-67.634</v>
      </c>
      <c r="E59" s="7">
        <f>[52]Sheet2!$D$8</f>
        <v>1063.894037907995</v>
      </c>
      <c r="F59" s="7" t="str">
        <f>[52]Sheet2!$G$4</f>
        <v>Apure</v>
      </c>
      <c r="G59" s="7" t="str">
        <f>[52]Sheet2!$G$5</f>
        <v>Venezuela</v>
      </c>
      <c r="H59" s="7" t="str">
        <f>[52]Sheet2!$H$8</f>
        <v>1</v>
      </c>
      <c r="I59" s="7">
        <f t="shared" si="28"/>
        <v>1</v>
      </c>
      <c r="J59" s="15">
        <f>[52]Sheet2!$H$9</f>
        <v>0.8775653256932483</v>
      </c>
      <c r="K59" s="19">
        <f>[52]Sheet2!$D$9</f>
        <v>6.2715883426415626</v>
      </c>
      <c r="L59" s="9">
        <f>[52]Sheet2!$D$7</f>
        <v>43923</v>
      </c>
      <c r="N59" s="8">
        <f t="shared" si="29"/>
        <v>-67.634</v>
      </c>
      <c r="O59" s="8">
        <f t="shared" si="30"/>
        <v>7.9640000000000004</v>
      </c>
      <c r="P59" s="8">
        <f t="shared" si="31"/>
        <v>9999</v>
      </c>
      <c r="Q59" s="8">
        <f t="shared" si="32"/>
        <v>9999</v>
      </c>
      <c r="R59" s="8">
        <f t="shared" si="33"/>
        <v>9999</v>
      </c>
      <c r="S59" s="8">
        <f t="shared" si="34"/>
        <v>9999</v>
      </c>
      <c r="T59" s="8">
        <f t="shared" si="35"/>
        <v>9999</v>
      </c>
      <c r="U59" s="8">
        <f t="shared" si="36"/>
        <v>9999</v>
      </c>
      <c r="V59" s="8">
        <f t="shared" si="37"/>
        <v>9999</v>
      </c>
      <c r="W59" s="8">
        <f t="shared" si="38"/>
        <v>9999</v>
      </c>
    </row>
    <row r="60" spans="1:23" x14ac:dyDescent="0.2">
      <c r="A60" s="7">
        <v>141</v>
      </c>
      <c r="B60" s="7"/>
      <c r="C60" s="8">
        <f>[53]Sheet2!$J$5</f>
        <v>8.6839999999999993</v>
      </c>
      <c r="D60" s="8">
        <f>[53]Sheet2!$J$4</f>
        <v>-62.143999999999998</v>
      </c>
      <c r="E60" s="7">
        <f>[53]Sheet2!$D$8</f>
        <v>5072.8092135871229</v>
      </c>
      <c r="F60" s="7" t="str">
        <f>[53]Sheet2!$G$4</f>
        <v>Orinoco</v>
      </c>
      <c r="G60" s="7" t="str">
        <f>[53]Sheet2!$G$5</f>
        <v>Venezuela</v>
      </c>
      <c r="H60" s="7" t="str">
        <f>[53]Sheet2!$H$8</f>
        <v>1</v>
      </c>
      <c r="I60" s="7">
        <f t="shared" si="28"/>
        <v>1</v>
      </c>
      <c r="J60" s="15">
        <f>[53]Sheet2!$H$9</f>
        <v>0.16135457367627287</v>
      </c>
      <c r="K60" s="19">
        <f>[53]Sheet2!$D$9</f>
        <v>2.3478186962124337</v>
      </c>
      <c r="L60" s="9">
        <f>[53]Sheet2!$D$7</f>
        <v>43922</v>
      </c>
      <c r="N60" s="8">
        <f t="shared" si="29"/>
        <v>-62.143999999999998</v>
      </c>
      <c r="O60" s="8">
        <f t="shared" si="30"/>
        <v>8.6839999999999993</v>
      </c>
      <c r="P60" s="8">
        <f t="shared" si="31"/>
        <v>9999</v>
      </c>
      <c r="Q60" s="8">
        <f t="shared" si="32"/>
        <v>9999</v>
      </c>
      <c r="R60" s="8">
        <f t="shared" si="33"/>
        <v>9999</v>
      </c>
      <c r="S60" s="8">
        <f t="shared" si="34"/>
        <v>9999</v>
      </c>
      <c r="T60" s="8">
        <f t="shared" si="35"/>
        <v>9999</v>
      </c>
      <c r="U60" s="8">
        <f t="shared" si="36"/>
        <v>9999</v>
      </c>
      <c r="V60" s="8">
        <f t="shared" si="37"/>
        <v>9999</v>
      </c>
      <c r="W60" s="8">
        <f t="shared" si="38"/>
        <v>9999</v>
      </c>
    </row>
    <row r="61" spans="1:23" x14ac:dyDescent="0.2">
      <c r="A61" s="7">
        <v>142</v>
      </c>
      <c r="B61" s="7"/>
      <c r="C61" s="8">
        <f>[54]Sheet2!$J$5</f>
        <v>0.22399999999999998</v>
      </c>
      <c r="D61" s="8">
        <f>[54]Sheet2!$J$4</f>
        <v>-61.783999999999999</v>
      </c>
      <c r="E61" s="7">
        <f>[54]Sheet2!$D$8</f>
        <v>4113.0775340083455</v>
      </c>
      <c r="F61" s="7" t="str">
        <f>[54]Sheet2!$G$4</f>
        <v>Branco</v>
      </c>
      <c r="G61" s="7" t="str">
        <f>[54]Sheet2!$G$5</f>
        <v>Brazil</v>
      </c>
      <c r="H61" s="7" t="str">
        <f>[54]Sheet2!$H$8</f>
        <v>2</v>
      </c>
      <c r="I61" s="7">
        <f t="shared" si="28"/>
        <v>2</v>
      </c>
      <c r="J61" s="15">
        <f>[54]Sheet2!$H$9</f>
        <v>0.87515630726748295</v>
      </c>
      <c r="K61" s="19">
        <f>[54]Sheet2!$D$9</f>
        <v>8.3187823639065872</v>
      </c>
      <c r="L61" s="9">
        <f>[54]Sheet2!$D$7</f>
        <v>43922</v>
      </c>
      <c r="N61" s="8">
        <f t="shared" si="29"/>
        <v>9999</v>
      </c>
      <c r="O61" s="8">
        <f t="shared" si="30"/>
        <v>9999</v>
      </c>
      <c r="P61" s="8">
        <f t="shared" si="31"/>
        <v>-61.783999999999999</v>
      </c>
      <c r="Q61" s="8">
        <f t="shared" si="32"/>
        <v>0.22399999999999998</v>
      </c>
      <c r="R61" s="8">
        <f t="shared" si="33"/>
        <v>9999</v>
      </c>
      <c r="S61" s="8">
        <f t="shared" si="34"/>
        <v>9999</v>
      </c>
      <c r="T61" s="8">
        <f t="shared" si="35"/>
        <v>9999</v>
      </c>
      <c r="U61" s="8">
        <f t="shared" si="36"/>
        <v>9999</v>
      </c>
      <c r="V61" s="8">
        <f t="shared" si="37"/>
        <v>9999</v>
      </c>
      <c r="W61" s="8">
        <f t="shared" si="38"/>
        <v>9999</v>
      </c>
    </row>
    <row r="62" spans="1:23" x14ac:dyDescent="0.2">
      <c r="A62" s="7">
        <v>143</v>
      </c>
      <c r="B62" s="7"/>
      <c r="C62" s="8">
        <f>[55]Sheet2!$J$5</f>
        <v>-0.40499999999999997</v>
      </c>
      <c r="D62" s="8">
        <f>[55]Sheet2!$J$4</f>
        <v>-64.483999999999995</v>
      </c>
      <c r="E62" s="7">
        <f>[55]Sheet2!$D$8</f>
        <v>17882.755477694049</v>
      </c>
      <c r="F62" s="7" t="str">
        <f>[55]Sheet2!$G$4</f>
        <v>RioNegro</v>
      </c>
      <c r="G62" s="7" t="str">
        <f>[55]Sheet2!$G$5</f>
        <v>Brazil</v>
      </c>
      <c r="H62" s="7" t="str">
        <f>[55]Sheet2!$H$8</f>
        <v>2</v>
      </c>
      <c r="I62" s="7">
        <f t="shared" si="28"/>
        <v>2</v>
      </c>
      <c r="J62" s="15">
        <f>[55]Sheet2!$H$9</f>
        <v>1.1106808552703167</v>
      </c>
      <c r="K62" s="19">
        <f>[55]Sheet2!$D$9</f>
        <v>33.811367440756307</v>
      </c>
      <c r="L62" s="9">
        <f>[55]Sheet2!$D$7</f>
        <v>43922</v>
      </c>
      <c r="N62" s="8">
        <f t="shared" si="29"/>
        <v>9999</v>
      </c>
      <c r="O62" s="8">
        <f t="shared" si="30"/>
        <v>9999</v>
      </c>
      <c r="P62" s="8">
        <f t="shared" si="31"/>
        <v>-64.483999999999995</v>
      </c>
      <c r="Q62" s="8">
        <f t="shared" si="32"/>
        <v>-0.40499999999999997</v>
      </c>
      <c r="R62" s="8">
        <f t="shared" si="33"/>
        <v>9999</v>
      </c>
      <c r="S62" s="8">
        <f t="shared" si="34"/>
        <v>9999</v>
      </c>
      <c r="T62" s="8">
        <f t="shared" si="35"/>
        <v>9999</v>
      </c>
      <c r="U62" s="8">
        <f t="shared" si="36"/>
        <v>9999</v>
      </c>
      <c r="V62" s="8">
        <f t="shared" si="37"/>
        <v>9999</v>
      </c>
      <c r="W62" s="8">
        <f t="shared" si="38"/>
        <v>9999</v>
      </c>
    </row>
    <row r="63" spans="1:23" x14ac:dyDescent="0.2">
      <c r="A63" s="7">
        <v>144</v>
      </c>
      <c r="B63" s="7"/>
      <c r="C63" s="8">
        <f>[56]Sheet2!$J$5</f>
        <v>-2.5649999999999999</v>
      </c>
      <c r="D63" s="8">
        <f>[56]Sheet2!$J$4</f>
        <v>-67.364000000000004</v>
      </c>
      <c r="E63" s="7">
        <f>[56]Sheet2!$D$8</f>
        <v>38061.979002206572</v>
      </c>
      <c r="F63" s="7" t="str">
        <f>[56]Sheet2!$G$4</f>
        <v>Amazon</v>
      </c>
      <c r="G63" s="7" t="str">
        <f>[56]Sheet2!$G$5</f>
        <v>Brazil</v>
      </c>
      <c r="H63" s="7" t="str">
        <f>[56]Sheet2!$H$8</f>
        <v>1</v>
      </c>
      <c r="I63" s="7">
        <f t="shared" si="28"/>
        <v>1</v>
      </c>
      <c r="J63" s="15">
        <f>[56]Sheet2!$H$9</f>
        <v>0.71744951260623513</v>
      </c>
      <c r="K63" s="19">
        <f>[56]Sheet2!$D$9</f>
        <v>20.247153504446118</v>
      </c>
      <c r="L63" s="9">
        <f>[56]Sheet2!$D$7</f>
        <v>43921</v>
      </c>
      <c r="N63" s="8">
        <f t="shared" si="29"/>
        <v>-67.364000000000004</v>
      </c>
      <c r="O63" s="8">
        <f t="shared" si="30"/>
        <v>-2.5649999999999999</v>
      </c>
      <c r="P63" s="8">
        <f t="shared" si="31"/>
        <v>9999</v>
      </c>
      <c r="Q63" s="8">
        <f t="shared" si="32"/>
        <v>9999</v>
      </c>
      <c r="R63" s="8">
        <f t="shared" si="33"/>
        <v>9999</v>
      </c>
      <c r="S63" s="8">
        <f t="shared" si="34"/>
        <v>9999</v>
      </c>
      <c r="T63" s="8">
        <f t="shared" si="35"/>
        <v>9999</v>
      </c>
      <c r="U63" s="8">
        <f t="shared" si="36"/>
        <v>9999</v>
      </c>
      <c r="V63" s="8">
        <f t="shared" si="37"/>
        <v>9999</v>
      </c>
      <c r="W63" s="8">
        <f t="shared" si="38"/>
        <v>9999</v>
      </c>
    </row>
    <row r="64" spans="1:23" x14ac:dyDescent="0.2">
      <c r="A64" s="7">
        <v>146</v>
      </c>
      <c r="B64" s="7"/>
      <c r="C64" s="8">
        <f>[57]Sheet2!$J$5</f>
        <v>-3.1950000000000003</v>
      </c>
      <c r="D64" s="8">
        <f>[57]Sheet2!$J$4</f>
        <v>-58.274000000000001</v>
      </c>
      <c r="E64" s="7">
        <f>[57]Sheet2!$D$8</f>
        <v>194479.40859360874</v>
      </c>
      <c r="F64" s="7" t="str">
        <f>[57]Sheet2!$G$4</f>
        <v>Amazon</v>
      </c>
      <c r="G64" s="7" t="str">
        <f>[57]Sheet2!$G$5</f>
        <v>Brazil</v>
      </c>
      <c r="H64" s="7" t="str">
        <f>[57]Sheet2!$H$8</f>
        <v>2</v>
      </c>
      <c r="I64" s="7">
        <f t="shared" si="28"/>
        <v>2</v>
      </c>
      <c r="J64" s="15">
        <f>[57]Sheet2!$H$9</f>
        <v>1.2660014734621063</v>
      </c>
      <c r="K64" s="19">
        <f>[57]Sheet2!$D$9</f>
        <v>27.930735765842392</v>
      </c>
      <c r="L64" s="9">
        <f>[57]Sheet2!$D$7</f>
        <v>43922</v>
      </c>
      <c r="N64" s="8">
        <f t="shared" si="29"/>
        <v>9999</v>
      </c>
      <c r="O64" s="8">
        <f t="shared" si="30"/>
        <v>9999</v>
      </c>
      <c r="P64" s="8">
        <f t="shared" si="31"/>
        <v>-58.274000000000001</v>
      </c>
      <c r="Q64" s="8">
        <f t="shared" si="32"/>
        <v>-3.1950000000000003</v>
      </c>
      <c r="R64" s="8">
        <f t="shared" si="33"/>
        <v>9999</v>
      </c>
      <c r="S64" s="8">
        <f t="shared" si="34"/>
        <v>9999</v>
      </c>
      <c r="T64" s="8">
        <f t="shared" si="35"/>
        <v>9999</v>
      </c>
      <c r="U64" s="8">
        <f t="shared" si="36"/>
        <v>9999</v>
      </c>
      <c r="V64" s="8">
        <f t="shared" si="37"/>
        <v>9999</v>
      </c>
      <c r="W64" s="8">
        <f t="shared" si="38"/>
        <v>9999</v>
      </c>
    </row>
    <row r="65" spans="1:23" x14ac:dyDescent="0.2">
      <c r="A65" s="7">
        <v>147</v>
      </c>
      <c r="B65" s="7"/>
      <c r="C65" s="8">
        <f>[58]Sheet2!$J$5</f>
        <v>-2.1150000000000002</v>
      </c>
      <c r="D65" s="8">
        <f>[58]Sheet2!$J$4</f>
        <v>-55.304000000000002</v>
      </c>
      <c r="E65" s="7">
        <f>[58]Sheet2!$D$8</f>
        <v>163512.74073392959</v>
      </c>
      <c r="F65" s="7" t="str">
        <f>[58]Sheet2!$G$4</f>
        <v>Amazon</v>
      </c>
      <c r="G65" s="7" t="str">
        <f>[58]Sheet2!$G$5</f>
        <v>Brazil</v>
      </c>
      <c r="H65" s="7" t="str">
        <f>[58]Sheet2!$H$8</f>
        <v>2</v>
      </c>
      <c r="I65" s="7">
        <f t="shared" si="28"/>
        <v>2</v>
      </c>
      <c r="J65" s="15">
        <f>[58]Sheet2!$H$9</f>
        <v>1.265830864840388</v>
      </c>
      <c r="K65" s="19">
        <f>[58]Sheet2!$D$9</f>
        <v>27.991514266754837</v>
      </c>
      <c r="L65" s="9">
        <f>[58]Sheet2!$D$7</f>
        <v>43923</v>
      </c>
      <c r="N65" s="8">
        <f t="shared" si="29"/>
        <v>9999</v>
      </c>
      <c r="O65" s="8">
        <f t="shared" si="30"/>
        <v>9999</v>
      </c>
      <c r="P65" s="8">
        <f t="shared" si="31"/>
        <v>-55.304000000000002</v>
      </c>
      <c r="Q65" s="8">
        <f t="shared" si="32"/>
        <v>-2.1150000000000002</v>
      </c>
      <c r="R65" s="8">
        <f t="shared" si="33"/>
        <v>9999</v>
      </c>
      <c r="S65" s="8">
        <f t="shared" si="34"/>
        <v>9999</v>
      </c>
      <c r="T65" s="8">
        <f t="shared" si="35"/>
        <v>9999</v>
      </c>
      <c r="U65" s="8">
        <f t="shared" si="36"/>
        <v>9999</v>
      </c>
      <c r="V65" s="8">
        <f t="shared" si="37"/>
        <v>9999</v>
      </c>
      <c r="W65" s="8">
        <f t="shared" si="38"/>
        <v>9999</v>
      </c>
    </row>
    <row r="66" spans="1:23" x14ac:dyDescent="0.2">
      <c r="A66" s="7">
        <v>148</v>
      </c>
      <c r="B66" s="7"/>
      <c r="C66" s="8">
        <f>[59]Sheet2!$J$5</f>
        <v>-2.2050000000000001</v>
      </c>
      <c r="D66" s="8">
        <f>[59]Sheet2!$J$4</f>
        <v>-54.043999999999997</v>
      </c>
      <c r="E66" s="7">
        <f>[59]Sheet2!$D$8</f>
        <v>177319.93938491947</v>
      </c>
      <c r="F66" s="7" t="str">
        <f>[59]Sheet2!$G$4</f>
        <v>Amazon</v>
      </c>
      <c r="G66" s="7" t="str">
        <f>[59]Sheet2!$G$5</f>
        <v>Brazil</v>
      </c>
      <c r="H66" s="7" t="str">
        <f>[59]Sheet2!$H$8</f>
        <v>2</v>
      </c>
      <c r="I66" s="7">
        <f t="shared" si="28"/>
        <v>2</v>
      </c>
      <c r="J66" s="15">
        <f>[59]Sheet2!$H$9</f>
        <v>1.0018719041784168</v>
      </c>
      <c r="K66" s="19">
        <f>[59]Sheet2!$D$9</f>
        <v>20.330798403707597</v>
      </c>
      <c r="L66" s="9">
        <f>[59]Sheet2!$D$7</f>
        <v>43923</v>
      </c>
      <c r="N66" s="8">
        <f t="shared" si="29"/>
        <v>9999</v>
      </c>
      <c r="O66" s="8">
        <f t="shared" si="30"/>
        <v>9999</v>
      </c>
      <c r="P66" s="8">
        <f t="shared" si="31"/>
        <v>-54.043999999999997</v>
      </c>
      <c r="Q66" s="8">
        <f t="shared" si="32"/>
        <v>-2.2050000000000001</v>
      </c>
      <c r="R66" s="8">
        <f t="shared" si="33"/>
        <v>9999</v>
      </c>
      <c r="S66" s="8">
        <f t="shared" si="34"/>
        <v>9999</v>
      </c>
      <c r="T66" s="8">
        <f t="shared" si="35"/>
        <v>9999</v>
      </c>
      <c r="U66" s="8">
        <f t="shared" si="36"/>
        <v>9999</v>
      </c>
      <c r="V66" s="8">
        <f t="shared" si="37"/>
        <v>9999</v>
      </c>
      <c r="W66" s="8">
        <f t="shared" si="38"/>
        <v>9999</v>
      </c>
    </row>
    <row r="67" spans="1:23" x14ac:dyDescent="0.2">
      <c r="A67" s="7">
        <v>165</v>
      </c>
      <c r="B67" s="7"/>
      <c r="C67" s="8">
        <f>[60]Sheet2!$J$5</f>
        <v>44.683999999999997</v>
      </c>
      <c r="D67" s="8">
        <f>[60]Sheet2!$J$4</f>
        <v>20.024999999999999</v>
      </c>
      <c r="E67" s="7">
        <f>[60]Sheet2!$D$8</f>
        <v>528.3111563907371</v>
      </c>
      <c r="F67" s="7" t="str">
        <f>[60]Sheet2!$G$4</f>
        <v>Sava</v>
      </c>
      <c r="G67" s="7" t="str">
        <f>[60]Sheet2!$G$5</f>
        <v>Serbia</v>
      </c>
      <c r="H67" s="7" t="str">
        <f>[60]Sheet2!$H$8</f>
        <v>1</v>
      </c>
      <c r="I67" s="7">
        <f t="shared" si="28"/>
        <v>1</v>
      </c>
      <c r="J67" s="15" t="e">
        <f>[60]Sheet2!$H$9</f>
        <v>#N/A</v>
      </c>
      <c r="K67" s="19">
        <f>[60]Sheet2!$D$9</f>
        <v>69.450311494739339</v>
      </c>
      <c r="L67" s="9">
        <f>[60]Sheet2!$D$7</f>
        <v>43923</v>
      </c>
      <c r="N67" s="8">
        <f t="shared" si="29"/>
        <v>20.024999999999999</v>
      </c>
      <c r="O67" s="8">
        <f t="shared" si="30"/>
        <v>44.683999999999997</v>
      </c>
      <c r="P67" s="8">
        <f t="shared" si="31"/>
        <v>9999</v>
      </c>
      <c r="Q67" s="8">
        <f t="shared" si="32"/>
        <v>9999</v>
      </c>
      <c r="R67" s="8">
        <f t="shared" si="33"/>
        <v>9999</v>
      </c>
      <c r="S67" s="8">
        <f t="shared" si="34"/>
        <v>9999</v>
      </c>
      <c r="T67" s="8">
        <f t="shared" si="35"/>
        <v>9999</v>
      </c>
      <c r="U67" s="8">
        <f t="shared" si="36"/>
        <v>9999</v>
      </c>
      <c r="V67" s="8">
        <f t="shared" si="37"/>
        <v>9999</v>
      </c>
      <c r="W67" s="8">
        <f t="shared" si="38"/>
        <v>9999</v>
      </c>
    </row>
    <row r="68" spans="1:23" x14ac:dyDescent="0.2">
      <c r="A68" s="7">
        <v>166</v>
      </c>
      <c r="B68" s="7"/>
      <c r="C68" s="8">
        <f>[61]Sheet2!$J$5</f>
        <v>44.954000000000001</v>
      </c>
      <c r="D68" s="8">
        <f>[61]Sheet2!$J$4</f>
        <v>19.395000000000003</v>
      </c>
      <c r="E68" s="7">
        <f>[61]Sheet2!$D$8</f>
        <v>1316.6593853794457</v>
      </c>
      <c r="F68" s="7" t="str">
        <f>[61]Sheet2!$G$4</f>
        <v>Sava</v>
      </c>
      <c r="G68" s="7" t="str">
        <f>[61]Sheet2!$G$5</f>
        <v>Serbia</v>
      </c>
      <c r="H68" s="7" t="str">
        <f>[61]Sheet2!$H$8</f>
        <v>1</v>
      </c>
      <c r="I68" s="7">
        <f t="shared" si="28"/>
        <v>1</v>
      </c>
      <c r="J68" s="15" t="e">
        <f>[61]Sheet2!$H$9</f>
        <v>#N/A</v>
      </c>
      <c r="K68" s="19">
        <f>[61]Sheet2!$D$9</f>
        <v>187.2865315547694</v>
      </c>
      <c r="L68" s="9">
        <f>[61]Sheet2!$D$7</f>
        <v>43923</v>
      </c>
      <c r="N68" s="8">
        <f t="shared" si="29"/>
        <v>19.395000000000003</v>
      </c>
      <c r="O68" s="8">
        <f t="shared" si="30"/>
        <v>44.954000000000001</v>
      </c>
      <c r="P68" s="8">
        <f t="shared" si="31"/>
        <v>9999</v>
      </c>
      <c r="Q68" s="8">
        <f t="shared" si="32"/>
        <v>9999</v>
      </c>
      <c r="R68" s="8">
        <f t="shared" si="33"/>
        <v>9999</v>
      </c>
      <c r="S68" s="8">
        <f t="shared" si="34"/>
        <v>9999</v>
      </c>
      <c r="T68" s="8">
        <f t="shared" si="35"/>
        <v>9999</v>
      </c>
      <c r="U68" s="8">
        <f t="shared" si="36"/>
        <v>9999</v>
      </c>
      <c r="V68" s="8">
        <f t="shared" si="37"/>
        <v>9999</v>
      </c>
      <c r="W68" s="8">
        <f t="shared" si="38"/>
        <v>9999</v>
      </c>
    </row>
    <row r="69" spans="1:23" x14ac:dyDescent="0.2">
      <c r="A69" s="7">
        <v>167</v>
      </c>
      <c r="B69" s="7"/>
      <c r="C69" s="8">
        <f>[62]Sheet2!$J$5</f>
        <v>45.043999999999997</v>
      </c>
      <c r="D69" s="8">
        <f>[62]Sheet2!$J$4</f>
        <v>18.585000000000001</v>
      </c>
      <c r="E69" s="7">
        <f>[62]Sheet2!$D$8</f>
        <v>2670.1560414314617</v>
      </c>
      <c r="F69" s="7" t="str">
        <f>[62]Sheet2!$G$4</f>
        <v>Sava</v>
      </c>
      <c r="G69" s="7" t="str">
        <f>[62]Sheet2!$G$5</f>
        <v>Croatia</v>
      </c>
      <c r="H69" s="7" t="str">
        <f>[62]Sheet2!$H$8</f>
        <v>1</v>
      </c>
      <c r="I69" s="7">
        <f t="shared" si="28"/>
        <v>1</v>
      </c>
      <c r="J69" s="15" t="e">
        <f>[62]Sheet2!$H$9</f>
        <v>#N/A</v>
      </c>
      <c r="K69" s="19">
        <f>[62]Sheet2!$D$9</f>
        <v>346.19942767293099</v>
      </c>
      <c r="L69" s="9">
        <f>[62]Sheet2!$D$7</f>
        <v>43923</v>
      </c>
      <c r="N69" s="8">
        <f t="shared" si="29"/>
        <v>18.585000000000001</v>
      </c>
      <c r="O69" s="8">
        <f t="shared" si="30"/>
        <v>45.043999999999997</v>
      </c>
      <c r="P69" s="8">
        <f t="shared" si="31"/>
        <v>9999</v>
      </c>
      <c r="Q69" s="8">
        <f t="shared" si="32"/>
        <v>9999</v>
      </c>
      <c r="R69" s="8">
        <f t="shared" si="33"/>
        <v>9999</v>
      </c>
      <c r="S69" s="8">
        <f t="shared" si="34"/>
        <v>9999</v>
      </c>
      <c r="T69" s="8">
        <f t="shared" si="35"/>
        <v>9999</v>
      </c>
      <c r="U69" s="8">
        <f t="shared" si="36"/>
        <v>9999</v>
      </c>
      <c r="V69" s="8">
        <f t="shared" si="37"/>
        <v>9999</v>
      </c>
      <c r="W69" s="8">
        <f t="shared" si="38"/>
        <v>9999</v>
      </c>
    </row>
    <row r="70" spans="1:23" x14ac:dyDescent="0.2">
      <c r="A70" s="7">
        <v>186</v>
      </c>
      <c r="B70" s="7"/>
      <c r="C70" s="8">
        <f>[63]Sheet2!$J$5</f>
        <v>44.954000000000001</v>
      </c>
      <c r="D70" s="8">
        <f>[63]Sheet2!$J$4</f>
        <v>18.225000000000001</v>
      </c>
      <c r="E70" s="7">
        <f>[63]Sheet2!$D$8</f>
        <v>65.134785045228455</v>
      </c>
      <c r="F70" s="7" t="str">
        <f>[63]Sheet2!$G$4</f>
        <v>Bosna</v>
      </c>
      <c r="G70" s="7" t="str">
        <f>[63]Sheet2!$G$5</f>
        <v>Bosnia and Herzegovina</v>
      </c>
      <c r="H70" s="7" t="str">
        <f>[63]Sheet2!$H$8</f>
        <v>1</v>
      </c>
      <c r="I70" s="7">
        <f t="shared" si="28"/>
        <v>1</v>
      </c>
      <c r="J70" s="15" t="e">
        <f>[63]Sheet2!$H$9</f>
        <v>#N/A</v>
      </c>
      <c r="K70" s="19">
        <f>[63]Sheet2!$D$9</f>
        <v>24.715579131093637</v>
      </c>
      <c r="L70" s="9">
        <f>[63]Sheet2!$D$7</f>
        <v>43923</v>
      </c>
      <c r="N70" s="8">
        <f t="shared" si="29"/>
        <v>18.225000000000001</v>
      </c>
      <c r="O70" s="8">
        <f t="shared" si="30"/>
        <v>44.954000000000001</v>
      </c>
      <c r="P70" s="8">
        <f t="shared" si="31"/>
        <v>9999</v>
      </c>
      <c r="Q70" s="8">
        <f t="shared" si="32"/>
        <v>9999</v>
      </c>
      <c r="R70" s="8">
        <f t="shared" si="33"/>
        <v>9999</v>
      </c>
      <c r="S70" s="8">
        <f t="shared" si="34"/>
        <v>9999</v>
      </c>
      <c r="T70" s="8">
        <f t="shared" si="35"/>
        <v>9999</v>
      </c>
      <c r="U70" s="8">
        <f t="shared" si="36"/>
        <v>9999</v>
      </c>
      <c r="V70" s="8">
        <f t="shared" si="37"/>
        <v>9999</v>
      </c>
      <c r="W70" s="8">
        <f t="shared" si="38"/>
        <v>9999</v>
      </c>
    </row>
    <row r="71" spans="1:23" x14ac:dyDescent="0.2">
      <c r="A71" s="7">
        <v>193</v>
      </c>
      <c r="B71" s="7"/>
      <c r="C71" s="8">
        <f>[64]Sheet2!$J$5</f>
        <v>24.613999999999997</v>
      </c>
      <c r="D71" s="8">
        <f>[64]Sheet2!$J$4</f>
        <v>88.064999999999998</v>
      </c>
      <c r="E71" s="7">
        <f>[64]Sheet2!$D$8</f>
        <v>8418.447325793255</v>
      </c>
      <c r="F71" s="7" t="str">
        <f>[64]Sheet2!$G$4</f>
        <v>Ganges</v>
      </c>
      <c r="G71" s="7" t="str">
        <f>[64]Sheet2!$G$5</f>
        <v>India</v>
      </c>
      <c r="H71" s="7" t="str">
        <f>[64]Sheet2!$H$8</f>
        <v>2</v>
      </c>
      <c r="I71" s="7">
        <f t="shared" si="28"/>
        <v>2</v>
      </c>
      <c r="J71" s="15">
        <f>[64]Sheet2!$H$9</f>
        <v>2.5151749886810033</v>
      </c>
      <c r="K71" s="19">
        <f>[64]Sheet2!$D$9</f>
        <v>5.0874525380872662</v>
      </c>
      <c r="L71" s="9">
        <f>[64]Sheet2!$D$7</f>
        <v>43923</v>
      </c>
      <c r="N71" s="8">
        <f t="shared" ref="N71:N90" si="39">IF($I71=1,$D71,9999)</f>
        <v>9999</v>
      </c>
      <c r="O71" s="8">
        <f t="shared" ref="O71:O90" si="40">IF($I71=1,$C71,9999)</f>
        <v>9999</v>
      </c>
      <c r="P71" s="8">
        <f t="shared" ref="P71:P90" si="41">IF($I71=2,$D71,9999)</f>
        <v>88.064999999999998</v>
      </c>
      <c r="Q71" s="8">
        <f t="shared" ref="Q71:Q90" si="42">IF($I71=2,$C71,9999)</f>
        <v>24.613999999999997</v>
      </c>
      <c r="R71" s="8">
        <f t="shared" ref="R71:R90" si="43">IF($I71=3,$D71,9999)</f>
        <v>9999</v>
      </c>
      <c r="S71" s="8">
        <f t="shared" ref="S71:S90" si="44">IF($I71=3,$C71,9999)</f>
        <v>9999</v>
      </c>
      <c r="T71" s="8">
        <f t="shared" ref="T71:T90" si="45">IF($I71=4,$D71,9999)</f>
        <v>9999</v>
      </c>
      <c r="U71" s="8">
        <f t="shared" ref="U71:U90" si="46">IF($I71=4,$C71,9999)</f>
        <v>9999</v>
      </c>
      <c r="V71" s="8">
        <f t="shared" ref="V71:V90" si="47">IF($I71=0,$D71,9999)</f>
        <v>9999</v>
      </c>
      <c r="W71" s="8">
        <f t="shared" ref="W71:W90" si="48">IF($I71=0,$C71,9999)</f>
        <v>9999</v>
      </c>
    </row>
    <row r="72" spans="1:23" x14ac:dyDescent="0.2">
      <c r="A72" s="7">
        <v>195</v>
      </c>
      <c r="B72" s="7"/>
      <c r="C72" s="8">
        <f>[65]Sheet2!$J$5</f>
        <v>25.334000000000003</v>
      </c>
      <c r="D72" s="8">
        <f>[65]Sheet2!$J$4</f>
        <v>86.174999999999997</v>
      </c>
      <c r="E72" s="7">
        <f>[65]Sheet2!$D$8</f>
        <v>6941.8194591100691</v>
      </c>
      <c r="F72" s="7" t="str">
        <f>[65]Sheet2!$G$4</f>
        <v>Ganges</v>
      </c>
      <c r="G72" s="7" t="str">
        <f>[65]Sheet2!$G$5</f>
        <v>India</v>
      </c>
      <c r="H72" s="7" t="str">
        <f>[65]Sheet2!$H$8</f>
        <v>2</v>
      </c>
      <c r="I72" s="7">
        <f t="shared" si="28"/>
        <v>2</v>
      </c>
      <c r="J72" s="15">
        <f>[65]Sheet2!$H$9</f>
        <v>2.1765288682707862</v>
      </c>
      <c r="K72" s="19">
        <f>[65]Sheet2!$D$9</f>
        <v>3.4915122718388778</v>
      </c>
      <c r="L72" s="9">
        <f>[65]Sheet2!$D$7</f>
        <v>43923</v>
      </c>
      <c r="N72" s="8">
        <f t="shared" si="39"/>
        <v>9999</v>
      </c>
      <c r="O72" s="8">
        <f t="shared" si="40"/>
        <v>9999</v>
      </c>
      <c r="P72" s="8">
        <f t="shared" si="41"/>
        <v>86.174999999999997</v>
      </c>
      <c r="Q72" s="8">
        <f t="shared" si="42"/>
        <v>25.334000000000003</v>
      </c>
      <c r="R72" s="8">
        <f t="shared" si="43"/>
        <v>9999</v>
      </c>
      <c r="S72" s="8">
        <f t="shared" si="44"/>
        <v>9999</v>
      </c>
      <c r="T72" s="8">
        <f t="shared" si="45"/>
        <v>9999</v>
      </c>
      <c r="U72" s="8">
        <f t="shared" si="46"/>
        <v>9999</v>
      </c>
      <c r="V72" s="8">
        <f t="shared" si="47"/>
        <v>9999</v>
      </c>
      <c r="W72" s="8">
        <f t="shared" si="48"/>
        <v>9999</v>
      </c>
    </row>
    <row r="73" spans="1:23" x14ac:dyDescent="0.2">
      <c r="A73" s="7">
        <v>198</v>
      </c>
      <c r="B73" s="7"/>
      <c r="C73" s="8">
        <f>[66]Sheet2!$J$5</f>
        <v>26.774000000000001</v>
      </c>
      <c r="D73" s="8">
        <f>[66]Sheet2!$J$4</f>
        <v>84.375</v>
      </c>
      <c r="E73" s="7">
        <f>[66]Sheet2!$D$8</f>
        <v>842.99116168019827</v>
      </c>
      <c r="F73" s="7" t="str">
        <f>[66]Sheet2!$G$4</f>
        <v>Gandak</v>
      </c>
      <c r="G73" s="7" t="str">
        <f>[66]Sheet2!$G$5</f>
        <v>India</v>
      </c>
      <c r="H73" s="7" t="str">
        <f>[66]Sheet2!$H$8</f>
        <v>2</v>
      </c>
      <c r="I73" s="7">
        <f t="shared" si="28"/>
        <v>2</v>
      </c>
      <c r="J73" s="15" t="e">
        <f>[66]Sheet2!$H$9</f>
        <v>#N/A</v>
      </c>
      <c r="K73" s="19">
        <f>[66]Sheet2!$D$9</f>
        <v>11.344808568687334</v>
      </c>
      <c r="L73" s="9">
        <f>[66]Sheet2!$D$7</f>
        <v>43923</v>
      </c>
      <c r="N73" s="8">
        <f t="shared" si="39"/>
        <v>9999</v>
      </c>
      <c r="O73" s="8">
        <f t="shared" si="40"/>
        <v>9999</v>
      </c>
      <c r="P73" s="8">
        <f t="shared" si="41"/>
        <v>84.375</v>
      </c>
      <c r="Q73" s="8">
        <f t="shared" si="42"/>
        <v>26.774000000000001</v>
      </c>
      <c r="R73" s="8">
        <f t="shared" si="43"/>
        <v>9999</v>
      </c>
      <c r="S73" s="8">
        <f t="shared" si="44"/>
        <v>9999</v>
      </c>
      <c r="T73" s="8">
        <f t="shared" si="45"/>
        <v>9999</v>
      </c>
      <c r="U73" s="8">
        <f t="shared" si="46"/>
        <v>9999</v>
      </c>
      <c r="V73" s="8">
        <f t="shared" si="47"/>
        <v>9999</v>
      </c>
      <c r="W73" s="8">
        <f t="shared" si="48"/>
        <v>9999</v>
      </c>
    </row>
    <row r="74" spans="1:23" x14ac:dyDescent="0.2">
      <c r="A74" s="7">
        <v>199</v>
      </c>
      <c r="B74" s="7"/>
      <c r="C74" s="8">
        <f>[67]Sheet2!$J$5</f>
        <v>26.863999999999997</v>
      </c>
      <c r="D74" s="8">
        <f>[67]Sheet2!$J$4</f>
        <v>81.765000000000001</v>
      </c>
      <c r="E74" s="7">
        <f>[67]Sheet2!$D$8</f>
        <v>1614.9465460029896</v>
      </c>
      <c r="F74" s="7" t="str">
        <f>[67]Sheet2!$G$4</f>
        <v>Ghaghra</v>
      </c>
      <c r="G74" s="7" t="str">
        <f>[67]Sheet2!$G$5</f>
        <v>India</v>
      </c>
      <c r="H74" s="7" t="str">
        <f>[67]Sheet2!$H$8</f>
        <v>2</v>
      </c>
      <c r="I74" s="7">
        <f t="shared" si="28"/>
        <v>2</v>
      </c>
      <c r="J74" s="15" t="e">
        <f>[67]Sheet2!$H$9</f>
        <v>#N/A</v>
      </c>
      <c r="K74" s="19">
        <f>[67]Sheet2!$D$9</f>
        <v>8.9794953591568039</v>
      </c>
      <c r="L74" s="9">
        <f>[67]Sheet2!$D$7</f>
        <v>43923</v>
      </c>
      <c r="N74" s="8">
        <f t="shared" si="39"/>
        <v>9999</v>
      </c>
      <c r="O74" s="8">
        <f t="shared" si="40"/>
        <v>9999</v>
      </c>
      <c r="P74" s="8">
        <f t="shared" si="41"/>
        <v>81.765000000000001</v>
      </c>
      <c r="Q74" s="8">
        <f t="shared" si="42"/>
        <v>26.863999999999997</v>
      </c>
      <c r="R74" s="8">
        <f t="shared" si="43"/>
        <v>9999</v>
      </c>
      <c r="S74" s="8">
        <f t="shared" si="44"/>
        <v>9999</v>
      </c>
      <c r="T74" s="8">
        <f t="shared" si="45"/>
        <v>9999</v>
      </c>
      <c r="U74" s="8">
        <f t="shared" si="46"/>
        <v>9999</v>
      </c>
      <c r="V74" s="8">
        <f t="shared" si="47"/>
        <v>9999</v>
      </c>
      <c r="W74" s="8">
        <f t="shared" si="48"/>
        <v>9999</v>
      </c>
    </row>
    <row r="75" spans="1:23" x14ac:dyDescent="0.2">
      <c r="A75" s="7">
        <v>200</v>
      </c>
      <c r="B75" s="7"/>
      <c r="C75" s="8">
        <f>[68]Sheet2!$J$5</f>
        <v>27.494</v>
      </c>
      <c r="D75" s="8">
        <f>[68]Sheet2!$J$4</f>
        <v>81.314999999999998</v>
      </c>
      <c r="E75" s="7">
        <f>[68]Sheet2!$D$8</f>
        <v>664.8020036497619</v>
      </c>
      <c r="F75" s="7" t="str">
        <f>[68]Sheet2!$G$4</f>
        <v>Ghaghra</v>
      </c>
      <c r="G75" s="7" t="str">
        <f>[68]Sheet2!$G$5</f>
        <v>India</v>
      </c>
      <c r="H75" s="7" t="str">
        <f>[68]Sheet2!$H$8</f>
        <v>2</v>
      </c>
      <c r="I75" s="7">
        <f t="shared" si="28"/>
        <v>2</v>
      </c>
      <c r="J75" s="15">
        <f>[68]Sheet2!$H$9</f>
        <v>20.916101861111223</v>
      </c>
      <c r="K75" s="19">
        <f>[68]Sheet2!$D$9</f>
        <v>7.4110857609109768</v>
      </c>
      <c r="L75" s="9">
        <f>[68]Sheet2!$D$7</f>
        <v>43923</v>
      </c>
      <c r="N75" s="8">
        <f t="shared" si="39"/>
        <v>9999</v>
      </c>
      <c r="O75" s="8">
        <f t="shared" si="40"/>
        <v>9999</v>
      </c>
      <c r="P75" s="8">
        <f t="shared" si="41"/>
        <v>81.314999999999998</v>
      </c>
      <c r="Q75" s="8">
        <f t="shared" si="42"/>
        <v>27.494</v>
      </c>
      <c r="R75" s="8">
        <f t="shared" si="43"/>
        <v>9999</v>
      </c>
      <c r="S75" s="8">
        <f t="shared" si="44"/>
        <v>9999</v>
      </c>
      <c r="T75" s="8">
        <f t="shared" si="45"/>
        <v>9999</v>
      </c>
      <c r="U75" s="8">
        <f t="shared" si="46"/>
        <v>9999</v>
      </c>
      <c r="V75" s="8">
        <f t="shared" si="47"/>
        <v>9999</v>
      </c>
      <c r="W75" s="8">
        <f t="shared" si="48"/>
        <v>9999</v>
      </c>
    </row>
    <row r="76" spans="1:23" x14ac:dyDescent="0.2">
      <c r="A76" s="7">
        <v>203</v>
      </c>
      <c r="B76" s="7"/>
      <c r="C76" s="8">
        <f>[69]Sheet2!$J$5</f>
        <v>26.683999999999997</v>
      </c>
      <c r="D76" s="8">
        <f>[69]Sheet2!$J$4</f>
        <v>82.394999999999996</v>
      </c>
      <c r="E76" s="7">
        <f>[69]Sheet2!$D$8</f>
        <v>1820.6081383647397</v>
      </c>
      <c r="F76" s="7" t="str">
        <f>[69]Sheet2!$G$4</f>
        <v>Ghaghra</v>
      </c>
      <c r="G76" s="7" t="str">
        <f>[69]Sheet2!$G$5</f>
        <v>India</v>
      </c>
      <c r="H76" s="7" t="str">
        <f>[69]Sheet2!$H$8</f>
        <v>2</v>
      </c>
      <c r="I76" s="7">
        <f t="shared" si="28"/>
        <v>2</v>
      </c>
      <c r="J76" s="15" t="e">
        <f>[69]Sheet2!$H$9</f>
        <v>#N/A</v>
      </c>
      <c r="K76" s="19">
        <f>[69]Sheet2!$D$9</f>
        <v>0</v>
      </c>
      <c r="L76" s="9">
        <f>[69]Sheet2!$D$7</f>
        <v>43856</v>
      </c>
      <c r="N76" s="8">
        <f t="shared" si="39"/>
        <v>9999</v>
      </c>
      <c r="O76" s="8">
        <f t="shared" si="40"/>
        <v>9999</v>
      </c>
      <c r="P76" s="8">
        <f t="shared" si="41"/>
        <v>82.394999999999996</v>
      </c>
      <c r="Q76" s="8">
        <f t="shared" si="42"/>
        <v>26.683999999999997</v>
      </c>
      <c r="R76" s="8">
        <f t="shared" si="43"/>
        <v>9999</v>
      </c>
      <c r="S76" s="8">
        <f t="shared" si="44"/>
        <v>9999</v>
      </c>
      <c r="T76" s="8">
        <f t="shared" si="45"/>
        <v>9999</v>
      </c>
      <c r="U76" s="8">
        <f t="shared" si="46"/>
        <v>9999</v>
      </c>
      <c r="V76" s="8">
        <f t="shared" si="47"/>
        <v>9999</v>
      </c>
      <c r="W76" s="8">
        <f t="shared" si="48"/>
        <v>9999</v>
      </c>
    </row>
    <row r="77" spans="1:23" x14ac:dyDescent="0.2">
      <c r="A77" s="7">
        <v>205</v>
      </c>
      <c r="B77" s="7"/>
      <c r="C77" s="8">
        <f>[70]Sheet2!$J$5</f>
        <v>25.244</v>
      </c>
      <c r="D77" s="8">
        <f>[70]Sheet2!$J$4</f>
        <v>82.394999999999996</v>
      </c>
      <c r="E77" s="7">
        <f>[70]Sheet2!$D$8</f>
        <v>7997.2166268800502</v>
      </c>
      <c r="F77" s="7" t="str">
        <f>[70]Sheet2!$G$4</f>
        <v>Ganges</v>
      </c>
      <c r="G77" s="7" t="str">
        <f>[70]Sheet2!$G$5</f>
        <v>India</v>
      </c>
      <c r="H77" s="7" t="str">
        <f>[70]Sheet2!$H$8</f>
        <v>2</v>
      </c>
      <c r="I77" s="7">
        <f t="shared" si="28"/>
        <v>2</v>
      </c>
      <c r="J77" s="15" t="e">
        <f>[70]Sheet2!$H$9</f>
        <v>#N/A</v>
      </c>
      <c r="K77" s="19">
        <f>[70]Sheet2!$D$9</f>
        <v>0</v>
      </c>
      <c r="L77" s="9">
        <f>[70]Sheet2!$D$7</f>
        <v>43856</v>
      </c>
      <c r="N77" s="8">
        <f t="shared" si="39"/>
        <v>9999</v>
      </c>
      <c r="O77" s="8">
        <f t="shared" si="40"/>
        <v>9999</v>
      </c>
      <c r="P77" s="8">
        <f t="shared" si="41"/>
        <v>82.394999999999996</v>
      </c>
      <c r="Q77" s="8">
        <f t="shared" si="42"/>
        <v>25.244</v>
      </c>
      <c r="R77" s="8">
        <f t="shared" si="43"/>
        <v>9999</v>
      </c>
      <c r="S77" s="8">
        <f t="shared" si="44"/>
        <v>9999</v>
      </c>
      <c r="T77" s="8">
        <f t="shared" si="45"/>
        <v>9999</v>
      </c>
      <c r="U77" s="8">
        <f t="shared" si="46"/>
        <v>9999</v>
      </c>
      <c r="V77" s="8">
        <f t="shared" si="47"/>
        <v>9999</v>
      </c>
      <c r="W77" s="8">
        <f t="shared" si="48"/>
        <v>9999</v>
      </c>
    </row>
    <row r="78" spans="1:23" x14ac:dyDescent="0.2">
      <c r="A78" s="7">
        <v>208</v>
      </c>
      <c r="B78" s="7"/>
      <c r="C78" s="8">
        <f>[71]Sheet2!$J$5</f>
        <v>29.204000000000001</v>
      </c>
      <c r="D78" s="8">
        <f>[71]Sheet2!$J$4</f>
        <v>78.075000000000003</v>
      </c>
      <c r="E78" s="7">
        <f>[71]Sheet2!$D$8</f>
        <v>933.94092358889031</v>
      </c>
      <c r="F78" s="7" t="str">
        <f>[71]Sheet2!$G$4</f>
        <v>Ramganga</v>
      </c>
      <c r="G78" s="7" t="str">
        <f>[71]Sheet2!$G$5</f>
        <v>India</v>
      </c>
      <c r="H78" s="7" t="str">
        <f>[71]Sheet2!$H$8</f>
        <v>2</v>
      </c>
      <c r="I78" s="7">
        <f t="shared" si="28"/>
        <v>2</v>
      </c>
      <c r="J78" s="15" t="e">
        <f>[71]Sheet2!$H$9</f>
        <v>#N/A</v>
      </c>
      <c r="K78" s="19">
        <f>[71]Sheet2!$D$9</f>
        <v>20.701756175814459</v>
      </c>
      <c r="L78" s="9">
        <f>[71]Sheet2!$D$7</f>
        <v>43923</v>
      </c>
      <c r="N78" s="8">
        <f t="shared" si="39"/>
        <v>9999</v>
      </c>
      <c r="O78" s="8">
        <f t="shared" si="40"/>
        <v>9999</v>
      </c>
      <c r="P78" s="8">
        <f t="shared" si="41"/>
        <v>78.075000000000003</v>
      </c>
      <c r="Q78" s="8">
        <f t="shared" si="42"/>
        <v>29.204000000000001</v>
      </c>
      <c r="R78" s="8">
        <f t="shared" si="43"/>
        <v>9999</v>
      </c>
      <c r="S78" s="8">
        <f t="shared" si="44"/>
        <v>9999</v>
      </c>
      <c r="T78" s="8">
        <f t="shared" si="45"/>
        <v>9999</v>
      </c>
      <c r="U78" s="8">
        <f t="shared" si="46"/>
        <v>9999</v>
      </c>
      <c r="V78" s="8">
        <f t="shared" si="47"/>
        <v>9999</v>
      </c>
      <c r="W78" s="8">
        <f t="shared" si="48"/>
        <v>9999</v>
      </c>
    </row>
    <row r="79" spans="1:23" x14ac:dyDescent="0.2">
      <c r="A79" s="7">
        <v>210</v>
      </c>
      <c r="B79" s="7"/>
      <c r="C79" s="8">
        <f>[72]Sheet2!$J$5</f>
        <v>28.033999999999999</v>
      </c>
      <c r="D79" s="8">
        <f>[72]Sheet2!$J$4</f>
        <v>79.515000000000001</v>
      </c>
      <c r="E79" s="7">
        <f>[72]Sheet2!$D$8</f>
        <v>62.719868931494659</v>
      </c>
      <c r="F79" s="7" t="str">
        <f>[72]Sheet2!$G$4</f>
        <v>Ramganga</v>
      </c>
      <c r="G79" s="7" t="str">
        <f>[72]Sheet2!$G$5</f>
        <v>India</v>
      </c>
      <c r="H79" s="7" t="str">
        <f>[72]Sheet2!$H$8</f>
        <v>1</v>
      </c>
      <c r="I79" s="7">
        <f t="shared" si="28"/>
        <v>1</v>
      </c>
      <c r="J79" s="15" t="e">
        <f>[72]Sheet2!$H$9</f>
        <v>#N/A</v>
      </c>
      <c r="K79" s="19">
        <f>[72]Sheet2!$D$9</f>
        <v>1.5692528554367955</v>
      </c>
      <c r="L79" s="9">
        <f>[72]Sheet2!$D$7</f>
        <v>43923</v>
      </c>
      <c r="N79" s="8">
        <f t="shared" si="39"/>
        <v>79.515000000000001</v>
      </c>
      <c r="O79" s="8">
        <f t="shared" si="40"/>
        <v>28.033999999999999</v>
      </c>
      <c r="P79" s="8">
        <f t="shared" si="41"/>
        <v>9999</v>
      </c>
      <c r="Q79" s="8">
        <f t="shared" si="42"/>
        <v>9999</v>
      </c>
      <c r="R79" s="8">
        <f t="shared" si="43"/>
        <v>9999</v>
      </c>
      <c r="S79" s="8">
        <f t="shared" si="44"/>
        <v>9999</v>
      </c>
      <c r="T79" s="8">
        <f t="shared" si="45"/>
        <v>9999</v>
      </c>
      <c r="U79" s="8">
        <f t="shared" si="46"/>
        <v>9999</v>
      </c>
      <c r="V79" s="8">
        <f t="shared" si="47"/>
        <v>9999</v>
      </c>
      <c r="W79" s="8">
        <f t="shared" si="48"/>
        <v>9999</v>
      </c>
    </row>
    <row r="80" spans="1:23" x14ac:dyDescent="0.2">
      <c r="A80" s="7">
        <v>211</v>
      </c>
      <c r="B80" s="7"/>
      <c r="C80" s="8">
        <f>[73]Sheet2!$J$5</f>
        <v>29.564</v>
      </c>
      <c r="D80" s="8">
        <f>[73]Sheet2!$J$4</f>
        <v>77.085000000000008</v>
      </c>
      <c r="E80" s="7">
        <f>[73]Sheet2!$D$8</f>
        <v>871.51661462303946</v>
      </c>
      <c r="F80" s="7" t="str">
        <f>[73]Sheet2!$G$4</f>
        <v>Ganges</v>
      </c>
      <c r="G80" s="7" t="str">
        <f>[73]Sheet2!$G$5</f>
        <v>India</v>
      </c>
      <c r="H80" s="7" t="str">
        <f>[73]Sheet2!$H$8</f>
        <v>2</v>
      </c>
      <c r="I80" s="7">
        <f t="shared" si="28"/>
        <v>2</v>
      </c>
      <c r="J80" s="15" t="e">
        <f>[73]Sheet2!$H$9</f>
        <v>#N/A</v>
      </c>
      <c r="K80" s="19">
        <f>[73]Sheet2!$D$9</f>
        <v>9.0773366707606176</v>
      </c>
      <c r="L80" s="9">
        <f>[73]Sheet2!$D$7</f>
        <v>43923</v>
      </c>
      <c r="N80" s="8">
        <f t="shared" si="39"/>
        <v>9999</v>
      </c>
      <c r="O80" s="8">
        <f t="shared" si="40"/>
        <v>9999</v>
      </c>
      <c r="P80" s="8">
        <f t="shared" si="41"/>
        <v>77.085000000000008</v>
      </c>
      <c r="Q80" s="8">
        <f t="shared" si="42"/>
        <v>29.564</v>
      </c>
      <c r="R80" s="8">
        <f t="shared" si="43"/>
        <v>9999</v>
      </c>
      <c r="S80" s="8">
        <f t="shared" si="44"/>
        <v>9999</v>
      </c>
      <c r="T80" s="8">
        <f t="shared" si="45"/>
        <v>9999</v>
      </c>
      <c r="U80" s="8">
        <f t="shared" si="46"/>
        <v>9999</v>
      </c>
      <c r="V80" s="8">
        <f t="shared" si="47"/>
        <v>9999</v>
      </c>
      <c r="W80" s="8">
        <f t="shared" si="48"/>
        <v>9999</v>
      </c>
    </row>
    <row r="81" spans="1:23" x14ac:dyDescent="0.2">
      <c r="A81" s="7">
        <v>219</v>
      </c>
      <c r="B81" s="7"/>
      <c r="C81" s="8">
        <f>[74]Sheet2!$J$5</f>
        <v>32.444000000000003</v>
      </c>
      <c r="D81" s="8">
        <f>[74]Sheet2!$J$4</f>
        <v>46.754999999999995</v>
      </c>
      <c r="E81" s="7">
        <f>[74]Sheet2!$D$8</f>
        <v>4833.845516617821</v>
      </c>
      <c r="F81" s="7" t="str">
        <f>[74]Sheet2!$G$4</f>
        <v>TigrisTrib</v>
      </c>
      <c r="G81" s="7" t="str">
        <f>[74]Sheet2!$G$5</f>
        <v>Iraq</v>
      </c>
      <c r="H81" s="7" t="str">
        <f>[74]Sheet2!$H$8</f>
        <v>2</v>
      </c>
      <c r="I81" s="7">
        <f t="shared" si="28"/>
        <v>2</v>
      </c>
      <c r="J81" s="15" t="e">
        <f>[74]Sheet2!$H$9</f>
        <v>#N/A</v>
      </c>
      <c r="K81" s="19">
        <f>[74]Sheet2!$D$9</f>
        <v>18.425933243083808</v>
      </c>
      <c r="L81" s="9">
        <f>[74]Sheet2!$D$7</f>
        <v>43922</v>
      </c>
      <c r="N81" s="8">
        <f t="shared" si="39"/>
        <v>9999</v>
      </c>
      <c r="O81" s="8">
        <f t="shared" si="40"/>
        <v>9999</v>
      </c>
      <c r="P81" s="8">
        <f t="shared" si="41"/>
        <v>46.754999999999995</v>
      </c>
      <c r="Q81" s="8">
        <f t="shared" si="42"/>
        <v>32.444000000000003</v>
      </c>
      <c r="R81" s="8">
        <f t="shared" si="43"/>
        <v>9999</v>
      </c>
      <c r="S81" s="8">
        <f t="shared" si="44"/>
        <v>9999</v>
      </c>
      <c r="T81" s="8">
        <f t="shared" si="45"/>
        <v>9999</v>
      </c>
      <c r="U81" s="8">
        <f t="shared" si="46"/>
        <v>9999</v>
      </c>
      <c r="V81" s="8">
        <f t="shared" si="47"/>
        <v>9999</v>
      </c>
      <c r="W81" s="8">
        <f t="shared" si="48"/>
        <v>9999</v>
      </c>
    </row>
    <row r="82" spans="1:23" x14ac:dyDescent="0.2">
      <c r="A82" s="7">
        <v>223</v>
      </c>
      <c r="B82" s="7"/>
      <c r="C82" s="8">
        <f>[75]Sheet2!$J$5</f>
        <v>12.103999999999999</v>
      </c>
      <c r="D82" s="8">
        <f>[75]Sheet2!$J$4</f>
        <v>104.80500000000001</v>
      </c>
      <c r="E82" s="7">
        <f>[75]Sheet2!$D$8</f>
        <v>803.88115730900654</v>
      </c>
      <c r="F82" s="7" t="str">
        <f>[75]Sheet2!$G$4</f>
        <v>Tonle</v>
      </c>
      <c r="G82" s="7" t="str">
        <f>[75]Sheet2!$G$5</f>
        <v>Cambodia</v>
      </c>
      <c r="H82" s="7" t="str">
        <f>[75]Sheet2!$H$8</f>
        <v>2</v>
      </c>
      <c r="I82" s="7">
        <f t="shared" si="28"/>
        <v>2</v>
      </c>
      <c r="J82" s="15" t="e">
        <f>[75]Sheet2!$H$9</f>
        <v>#N/A</v>
      </c>
      <c r="K82" s="19">
        <f>[75]Sheet2!$D$9</f>
        <v>5.7872953252704917</v>
      </c>
      <c r="L82" s="9">
        <f>[75]Sheet2!$D$7</f>
        <v>43922</v>
      </c>
      <c r="N82" s="8">
        <f t="shared" si="39"/>
        <v>9999</v>
      </c>
      <c r="O82" s="8">
        <f t="shared" si="40"/>
        <v>9999</v>
      </c>
      <c r="P82" s="8">
        <f t="shared" si="41"/>
        <v>104.80500000000001</v>
      </c>
      <c r="Q82" s="8">
        <f t="shared" si="42"/>
        <v>12.103999999999999</v>
      </c>
      <c r="R82" s="8">
        <f t="shared" si="43"/>
        <v>9999</v>
      </c>
      <c r="S82" s="8">
        <f t="shared" si="44"/>
        <v>9999</v>
      </c>
      <c r="T82" s="8">
        <f t="shared" si="45"/>
        <v>9999</v>
      </c>
      <c r="U82" s="8">
        <f t="shared" si="46"/>
        <v>9999</v>
      </c>
      <c r="V82" s="8">
        <f t="shared" si="47"/>
        <v>9999</v>
      </c>
      <c r="W82" s="8">
        <f t="shared" si="48"/>
        <v>9999</v>
      </c>
    </row>
    <row r="83" spans="1:23" x14ac:dyDescent="0.2">
      <c r="A83" s="7">
        <v>239</v>
      </c>
      <c r="B83" s="7"/>
      <c r="C83" s="8">
        <f>[76]Sheet2!$J$5</f>
        <v>17.323999999999998</v>
      </c>
      <c r="D83" s="8">
        <f>[76]Sheet2!$J$4</f>
        <v>104.80500000000001</v>
      </c>
      <c r="E83" s="7">
        <f>[76]Sheet2!$D$8</f>
        <v>2626.3919022656046</v>
      </c>
      <c r="F83" s="7" t="str">
        <f>[76]Sheet2!$G$4</f>
        <v>Mekong</v>
      </c>
      <c r="G83" s="7" t="str">
        <f>[76]Sheet2!$G$5</f>
        <v>Laos</v>
      </c>
      <c r="H83" s="7" t="str">
        <f>[76]Sheet2!$H$8</f>
        <v>2</v>
      </c>
      <c r="I83" s="7">
        <f t="shared" si="28"/>
        <v>2</v>
      </c>
      <c r="J83" s="15" t="e">
        <f>[76]Sheet2!$H$9</f>
        <v>#N/A</v>
      </c>
      <c r="K83" s="19">
        <f>[76]Sheet2!$D$9</f>
        <v>9.0885290693280059</v>
      </c>
      <c r="L83" s="9">
        <f>[76]Sheet2!$D$7</f>
        <v>43922</v>
      </c>
      <c r="N83" s="8">
        <f t="shared" si="39"/>
        <v>9999</v>
      </c>
      <c r="O83" s="8">
        <f t="shared" si="40"/>
        <v>9999</v>
      </c>
      <c r="P83" s="8">
        <f t="shared" si="41"/>
        <v>104.80500000000001</v>
      </c>
      <c r="Q83" s="8">
        <f t="shared" si="42"/>
        <v>17.323999999999998</v>
      </c>
      <c r="R83" s="8">
        <f t="shared" si="43"/>
        <v>9999</v>
      </c>
      <c r="S83" s="8">
        <f t="shared" si="44"/>
        <v>9999</v>
      </c>
      <c r="T83" s="8">
        <f t="shared" si="45"/>
        <v>9999</v>
      </c>
      <c r="U83" s="8">
        <f t="shared" si="46"/>
        <v>9999</v>
      </c>
      <c r="V83" s="8">
        <f t="shared" si="47"/>
        <v>9999</v>
      </c>
      <c r="W83" s="8">
        <f t="shared" si="48"/>
        <v>9999</v>
      </c>
    </row>
    <row r="84" spans="1:23" x14ac:dyDescent="0.2">
      <c r="A84" s="7">
        <v>242</v>
      </c>
      <c r="B84" s="7"/>
      <c r="C84" s="8">
        <f>[77]Sheet2!$J$5</f>
        <v>18.314</v>
      </c>
      <c r="D84" s="8">
        <f>[77]Sheet2!$J$4</f>
        <v>102.55500000000001</v>
      </c>
      <c r="E84" s="7">
        <f>[77]Sheet2!$D$8</f>
        <v>259.73074838874891</v>
      </c>
      <c r="F84" s="7" t="str">
        <f>[77]Sheet2!$G$4</f>
        <v>Nam Ngum</v>
      </c>
      <c r="G84" s="7" t="str">
        <f>[77]Sheet2!$G$5</f>
        <v>Laos</v>
      </c>
      <c r="H84" s="7" t="str">
        <f>[77]Sheet2!$H$8</f>
        <v>2</v>
      </c>
      <c r="I84" s="7">
        <f t="shared" si="28"/>
        <v>2</v>
      </c>
      <c r="J84" s="15" t="e">
        <f>[77]Sheet2!$H$9</f>
        <v>#N/A</v>
      </c>
      <c r="K84" s="19">
        <f>[77]Sheet2!$D$9</f>
        <v>14.471766254734797</v>
      </c>
      <c r="L84" s="9">
        <f>[77]Sheet2!$D$7</f>
        <v>43923</v>
      </c>
      <c r="N84" s="8">
        <f t="shared" si="39"/>
        <v>9999</v>
      </c>
      <c r="O84" s="8">
        <f t="shared" si="40"/>
        <v>9999</v>
      </c>
      <c r="P84" s="8">
        <f t="shared" si="41"/>
        <v>102.55500000000001</v>
      </c>
      <c r="Q84" s="8">
        <f t="shared" si="42"/>
        <v>18.314</v>
      </c>
      <c r="R84" s="8">
        <f t="shared" si="43"/>
        <v>9999</v>
      </c>
      <c r="S84" s="8">
        <f t="shared" si="44"/>
        <v>9999</v>
      </c>
      <c r="T84" s="8">
        <f t="shared" si="45"/>
        <v>9999</v>
      </c>
      <c r="U84" s="8">
        <f t="shared" si="46"/>
        <v>9999</v>
      </c>
      <c r="V84" s="8">
        <f t="shared" si="47"/>
        <v>9999</v>
      </c>
      <c r="W84" s="8">
        <f t="shared" si="48"/>
        <v>9999</v>
      </c>
    </row>
    <row r="85" spans="1:23" x14ac:dyDescent="0.2">
      <c r="A85" s="7">
        <v>249</v>
      </c>
      <c r="B85" s="7"/>
      <c r="C85" s="8">
        <f>[78]Sheet2!$J$5</f>
        <v>15.974</v>
      </c>
      <c r="D85" s="8">
        <f>[78]Sheet2!$J$4</f>
        <v>100.30500000000001</v>
      </c>
      <c r="E85" s="7">
        <f>[78]Sheet2!$D$8</f>
        <v>124.04020211807801</v>
      </c>
      <c r="F85" s="7" t="str">
        <f>[78]Sheet2!$G$4</f>
        <v>Chao Praya</v>
      </c>
      <c r="G85" s="7" t="str">
        <f>[78]Sheet2!$G$5</f>
        <v>Thailand</v>
      </c>
      <c r="H85" s="7" t="str">
        <f>[78]Sheet2!$H$8</f>
        <v>1</v>
      </c>
      <c r="I85" s="7">
        <f t="shared" ref="I85:I116" si="49">VALUE(H85)</f>
        <v>1</v>
      </c>
      <c r="J85" s="15" t="e">
        <f>[78]Sheet2!$H$9</f>
        <v>#N/A</v>
      </c>
      <c r="K85" s="19">
        <f>[78]Sheet2!$D$9</f>
        <v>1.3161526507061856</v>
      </c>
      <c r="L85" s="9">
        <f>[78]Sheet2!$D$7</f>
        <v>43923</v>
      </c>
      <c r="N85" s="8">
        <f t="shared" si="39"/>
        <v>100.30500000000001</v>
      </c>
      <c r="O85" s="8">
        <f t="shared" si="40"/>
        <v>15.974</v>
      </c>
      <c r="P85" s="8">
        <f t="shared" si="41"/>
        <v>9999</v>
      </c>
      <c r="Q85" s="8">
        <f t="shared" si="42"/>
        <v>9999</v>
      </c>
      <c r="R85" s="8">
        <f t="shared" si="43"/>
        <v>9999</v>
      </c>
      <c r="S85" s="8">
        <f t="shared" si="44"/>
        <v>9999</v>
      </c>
      <c r="T85" s="8">
        <f t="shared" si="45"/>
        <v>9999</v>
      </c>
      <c r="U85" s="8">
        <f t="shared" si="46"/>
        <v>9999</v>
      </c>
      <c r="V85" s="8">
        <f t="shared" si="47"/>
        <v>9999</v>
      </c>
      <c r="W85" s="8">
        <f t="shared" si="48"/>
        <v>9999</v>
      </c>
    </row>
    <row r="86" spans="1:23" x14ac:dyDescent="0.2">
      <c r="A86" s="7">
        <v>250</v>
      </c>
      <c r="B86" s="7"/>
      <c r="C86" s="8">
        <f>[79]Sheet2!$J$5</f>
        <v>15.523999999999999</v>
      </c>
      <c r="D86" s="8">
        <f>[79]Sheet2!$J$4</f>
        <v>100.125</v>
      </c>
      <c r="E86" s="7">
        <f>[79]Sheet2!$D$8</f>
        <v>148.87551382000674</v>
      </c>
      <c r="F86" s="7" t="str">
        <f>[79]Sheet2!$G$4</f>
        <v>Chao Praya</v>
      </c>
      <c r="G86" s="7" t="str">
        <f>[79]Sheet2!$G$5</f>
        <v>Thailand</v>
      </c>
      <c r="H86" s="7" t="str">
        <f>[79]Sheet2!$H$8</f>
        <v>1</v>
      </c>
      <c r="I86" s="7">
        <f t="shared" si="49"/>
        <v>1</v>
      </c>
      <c r="J86" s="15" t="e">
        <f>[79]Sheet2!$H$9</f>
        <v>#N/A</v>
      </c>
      <c r="K86" s="19">
        <f>[79]Sheet2!$D$9</f>
        <v>0.30177497858296054</v>
      </c>
      <c r="L86" s="9">
        <f>[79]Sheet2!$D$7</f>
        <v>43923</v>
      </c>
      <c r="N86" s="8">
        <f t="shared" si="39"/>
        <v>100.125</v>
      </c>
      <c r="O86" s="8">
        <f t="shared" si="40"/>
        <v>15.523999999999999</v>
      </c>
      <c r="P86" s="8">
        <f t="shared" si="41"/>
        <v>9999</v>
      </c>
      <c r="Q86" s="8">
        <f t="shared" si="42"/>
        <v>9999</v>
      </c>
      <c r="R86" s="8">
        <f t="shared" si="43"/>
        <v>9999</v>
      </c>
      <c r="S86" s="8">
        <f t="shared" si="44"/>
        <v>9999</v>
      </c>
      <c r="T86" s="8">
        <f t="shared" si="45"/>
        <v>9999</v>
      </c>
      <c r="U86" s="8">
        <f t="shared" si="46"/>
        <v>9999</v>
      </c>
      <c r="V86" s="8">
        <f t="shared" si="47"/>
        <v>9999</v>
      </c>
      <c r="W86" s="8">
        <f t="shared" si="48"/>
        <v>9999</v>
      </c>
    </row>
    <row r="87" spans="1:23" x14ac:dyDescent="0.2">
      <c r="A87" s="7">
        <v>253</v>
      </c>
      <c r="B87" s="7"/>
      <c r="C87" s="8">
        <f>[80]Sheet2!$J$5</f>
        <v>-16.244999999999997</v>
      </c>
      <c r="D87" s="8">
        <f>[80]Sheet2!$J$4</f>
        <v>34.965000000000003</v>
      </c>
      <c r="E87" s="7">
        <f>[80]Sheet2!$D$8</f>
        <v>3007.3749583133322</v>
      </c>
      <c r="F87" s="7" t="str">
        <f>[80]Sheet2!$G$4</f>
        <v>Shire</v>
      </c>
      <c r="G87" s="7" t="str">
        <f>[80]Sheet2!$G$5</f>
        <v>Zimbabwe</v>
      </c>
      <c r="H87" s="7" t="str">
        <f>[80]Sheet2!$H$8</f>
        <v>2</v>
      </c>
      <c r="I87" s="7">
        <f t="shared" si="49"/>
        <v>2</v>
      </c>
      <c r="J87" s="15" t="e">
        <f>[80]Sheet2!$H$9</f>
        <v>#N/A</v>
      </c>
      <c r="K87" s="19">
        <f>[80]Sheet2!$D$9</f>
        <v>11.100931309036753</v>
      </c>
      <c r="L87" s="9">
        <f>[80]Sheet2!$D$7</f>
        <v>43923</v>
      </c>
      <c r="N87" s="8">
        <f t="shared" si="39"/>
        <v>9999</v>
      </c>
      <c r="O87" s="8">
        <f t="shared" si="40"/>
        <v>9999</v>
      </c>
      <c r="P87" s="8">
        <f t="shared" si="41"/>
        <v>34.965000000000003</v>
      </c>
      <c r="Q87" s="8">
        <f t="shared" si="42"/>
        <v>-16.244999999999997</v>
      </c>
      <c r="R87" s="8">
        <f t="shared" si="43"/>
        <v>9999</v>
      </c>
      <c r="S87" s="8">
        <f t="shared" si="44"/>
        <v>9999</v>
      </c>
      <c r="T87" s="8">
        <f t="shared" si="45"/>
        <v>9999</v>
      </c>
      <c r="U87" s="8">
        <f t="shared" si="46"/>
        <v>9999</v>
      </c>
      <c r="V87" s="8">
        <f t="shared" si="47"/>
        <v>9999</v>
      </c>
      <c r="W87" s="8">
        <f t="shared" si="48"/>
        <v>9999</v>
      </c>
    </row>
    <row r="88" spans="1:23" x14ac:dyDescent="0.2">
      <c r="A88" s="7">
        <v>254</v>
      </c>
      <c r="B88" s="7"/>
      <c r="C88" s="8">
        <f>[81]Sheet2!$J$5</f>
        <v>-16.695</v>
      </c>
      <c r="D88" s="8">
        <f>[81]Sheet2!$J$4</f>
        <v>34.335000000000001</v>
      </c>
      <c r="E88" s="7">
        <f>[81]Sheet2!$D$8</f>
        <v>18296.306061482057</v>
      </c>
      <c r="F88" s="7" t="str">
        <f>[81]Sheet2!$G$4</f>
        <v>Zambezi</v>
      </c>
      <c r="G88" s="7" t="str">
        <f>[81]Sheet2!$G$5</f>
        <v>Mozambique</v>
      </c>
      <c r="H88" s="7" t="str">
        <f>[81]Sheet2!$H$8</f>
        <v>3</v>
      </c>
      <c r="I88" s="7">
        <f t="shared" si="49"/>
        <v>3</v>
      </c>
      <c r="J88" s="15" t="e">
        <f>[81]Sheet2!$H$9</f>
        <v>#N/A</v>
      </c>
      <c r="K88" s="19">
        <f>[81]Sheet2!$D$9</f>
        <v>8.7258726954574453</v>
      </c>
      <c r="L88" s="9">
        <f>[81]Sheet2!$D$7</f>
        <v>43923</v>
      </c>
      <c r="N88" s="8">
        <f t="shared" si="39"/>
        <v>9999</v>
      </c>
      <c r="O88" s="8">
        <f t="shared" si="40"/>
        <v>9999</v>
      </c>
      <c r="P88" s="8">
        <f t="shared" si="41"/>
        <v>9999</v>
      </c>
      <c r="Q88" s="8">
        <f t="shared" si="42"/>
        <v>9999</v>
      </c>
      <c r="R88" s="8">
        <f t="shared" si="43"/>
        <v>34.335000000000001</v>
      </c>
      <c r="S88" s="8">
        <f t="shared" si="44"/>
        <v>-16.695</v>
      </c>
      <c r="T88" s="8">
        <f t="shared" si="45"/>
        <v>9999</v>
      </c>
      <c r="U88" s="8">
        <f t="shared" si="46"/>
        <v>9999</v>
      </c>
      <c r="V88" s="8">
        <f t="shared" si="47"/>
        <v>9999</v>
      </c>
      <c r="W88" s="8">
        <f t="shared" si="48"/>
        <v>9999</v>
      </c>
    </row>
    <row r="89" spans="1:23" x14ac:dyDescent="0.2">
      <c r="A89" s="7">
        <v>255</v>
      </c>
      <c r="B89" s="7"/>
      <c r="C89" s="8">
        <f>[82]Sheet2!$J$5</f>
        <v>-17.234999999999999</v>
      </c>
      <c r="D89" s="8">
        <f>[82]Sheet2!$J$4</f>
        <v>35.325000000000003</v>
      </c>
      <c r="E89" s="7">
        <f>[82]Sheet2!$D$8</f>
        <v>4505.7822394999966</v>
      </c>
      <c r="F89" s="7" t="str">
        <f>[82]Sheet2!$G$4</f>
        <v>Shire</v>
      </c>
      <c r="G89" s="7" t="str">
        <f>[82]Sheet2!$G$5</f>
        <v>Mozambique</v>
      </c>
      <c r="H89" s="7" t="str">
        <f>[82]Sheet2!$H$8</f>
        <v>2</v>
      </c>
      <c r="I89" s="7">
        <f t="shared" si="49"/>
        <v>2</v>
      </c>
      <c r="J89" s="15" t="e">
        <f>[82]Sheet2!$H$9</f>
        <v>#N/A</v>
      </c>
      <c r="K89" s="19" t="e">
        <f>[82]Sheet2!$D$9</f>
        <v>#N/A</v>
      </c>
      <c r="L89" s="9">
        <f>[82]Sheet2!$D$7</f>
        <v>43923</v>
      </c>
      <c r="N89" s="8">
        <f t="shared" si="39"/>
        <v>9999</v>
      </c>
      <c r="O89" s="8">
        <f t="shared" si="40"/>
        <v>9999</v>
      </c>
      <c r="P89" s="8">
        <f t="shared" si="41"/>
        <v>35.325000000000003</v>
      </c>
      <c r="Q89" s="8">
        <f t="shared" si="42"/>
        <v>-17.234999999999999</v>
      </c>
      <c r="R89" s="8">
        <f t="shared" si="43"/>
        <v>9999</v>
      </c>
      <c r="S89" s="8">
        <f t="shared" si="44"/>
        <v>9999</v>
      </c>
      <c r="T89" s="8">
        <f t="shared" si="45"/>
        <v>9999</v>
      </c>
      <c r="U89" s="8">
        <f t="shared" si="46"/>
        <v>9999</v>
      </c>
      <c r="V89" s="8">
        <f t="shared" si="47"/>
        <v>9999</v>
      </c>
      <c r="W89" s="8">
        <f t="shared" si="48"/>
        <v>9999</v>
      </c>
    </row>
    <row r="90" spans="1:23" x14ac:dyDescent="0.2">
      <c r="A90" s="7">
        <v>256</v>
      </c>
      <c r="B90" s="7"/>
      <c r="C90" s="8">
        <f>[83]Sheet2!$J$5</f>
        <v>-17.954999999999998</v>
      </c>
      <c r="D90" s="8">
        <f>[83]Sheet2!$J$4</f>
        <v>35.504999999999995</v>
      </c>
      <c r="E90" s="7">
        <f>[83]Sheet2!$D$8</f>
        <v>0</v>
      </c>
      <c r="F90" s="7" t="str">
        <f>[83]Sheet2!$G$4</f>
        <v>Zambezi</v>
      </c>
      <c r="G90" s="7" t="str">
        <f>[83]Sheet2!$G$5</f>
        <v>Mozambique</v>
      </c>
      <c r="H90" s="7" t="str">
        <f>[83]Sheet2!$H$8</f>
        <v>1</v>
      </c>
      <c r="I90" s="7">
        <f t="shared" si="49"/>
        <v>1</v>
      </c>
      <c r="J90" s="15" t="e">
        <f>[83]Sheet2!$H$9</f>
        <v>#N/A</v>
      </c>
      <c r="K90" s="19">
        <f>[83]Sheet2!$D$9</f>
        <v>0.2861012210111113</v>
      </c>
      <c r="L90" s="9">
        <f>[83]Sheet2!$D$7</f>
        <v>43923</v>
      </c>
      <c r="N90" s="8">
        <f t="shared" si="39"/>
        <v>35.504999999999995</v>
      </c>
      <c r="O90" s="8">
        <f t="shared" si="40"/>
        <v>-17.954999999999998</v>
      </c>
      <c r="P90" s="8">
        <f t="shared" si="41"/>
        <v>9999</v>
      </c>
      <c r="Q90" s="8">
        <f t="shared" si="42"/>
        <v>9999</v>
      </c>
      <c r="R90" s="8">
        <f t="shared" si="43"/>
        <v>9999</v>
      </c>
      <c r="S90" s="8">
        <f t="shared" si="44"/>
        <v>9999</v>
      </c>
      <c r="T90" s="8">
        <f t="shared" si="45"/>
        <v>9999</v>
      </c>
      <c r="U90" s="8">
        <f t="shared" si="46"/>
        <v>9999</v>
      </c>
      <c r="V90" s="8">
        <f t="shared" si="47"/>
        <v>9999</v>
      </c>
      <c r="W90" s="8">
        <f t="shared" si="48"/>
        <v>9999</v>
      </c>
    </row>
    <row r="91" spans="1:23" x14ac:dyDescent="0.2">
      <c r="A91" s="7">
        <v>257</v>
      </c>
      <c r="B91" s="7"/>
      <c r="C91" s="8">
        <f>[84]Sheet2!$J$5</f>
        <v>-18.225000000000001</v>
      </c>
      <c r="D91" s="8">
        <f>[84]Sheet2!$J$4</f>
        <v>35.954999999999998</v>
      </c>
      <c r="E91" s="7">
        <f>[84]Sheet2!$D$8</f>
        <v>20618.18109800003</v>
      </c>
      <c r="F91" s="7" t="str">
        <f>[84]Sheet2!$G$4</f>
        <v>Zambezi</v>
      </c>
      <c r="G91" s="7" t="str">
        <f>[84]Sheet2!$G$5</f>
        <v>Mozambique</v>
      </c>
      <c r="H91" s="7" t="str">
        <f>[84]Sheet2!$H$8</f>
        <v>2</v>
      </c>
      <c r="I91" s="7">
        <f t="shared" si="49"/>
        <v>2</v>
      </c>
      <c r="J91" s="15" t="e">
        <f>[84]Sheet2!$H$9</f>
        <v>#N/A</v>
      </c>
      <c r="K91" s="19">
        <f>[84]Sheet2!$D$9</f>
        <v>9.4006756035738253</v>
      </c>
      <c r="L91" s="9">
        <f>[83]Sheet2!$D$7</f>
        <v>43923</v>
      </c>
      <c r="N91" s="8">
        <f t="shared" ref="N91:N116" si="50">IF($I91=1,$D91,9999)</f>
        <v>9999</v>
      </c>
      <c r="O91" s="8">
        <f t="shared" ref="O91:O116" si="51">IF($I91=1,$C91,9999)</f>
        <v>9999</v>
      </c>
      <c r="P91" s="8">
        <f t="shared" ref="P91:P116" si="52">IF($I91=2,$D91,9999)</f>
        <v>35.954999999999998</v>
      </c>
      <c r="Q91" s="8">
        <f t="shared" ref="Q91:Q116" si="53">IF($I91=2,$C91,9999)</f>
        <v>-18.225000000000001</v>
      </c>
      <c r="R91" s="8">
        <f t="shared" ref="R91:R116" si="54">IF($I91=3,$D91,9999)</f>
        <v>9999</v>
      </c>
      <c r="S91" s="8">
        <f t="shared" ref="S91:S116" si="55">IF($I91=3,$C91,9999)</f>
        <v>9999</v>
      </c>
      <c r="T91" s="8">
        <f t="shared" ref="T91:T116" si="56">IF($I91=4,$D91,9999)</f>
        <v>9999</v>
      </c>
      <c r="U91" s="8">
        <f t="shared" ref="U91:U116" si="57">IF($I91=4,$C91,9999)</f>
        <v>9999</v>
      </c>
      <c r="V91" s="8">
        <f t="shared" ref="V91:V116" si="58">IF($I91=0,$D91,9999)</f>
        <v>9999</v>
      </c>
      <c r="W91" s="8">
        <f t="shared" ref="W91:W116" si="59">IF($I91=0,$C91,9999)</f>
        <v>9999</v>
      </c>
    </row>
    <row r="92" spans="1:23" x14ac:dyDescent="0.2">
      <c r="A92" s="7">
        <v>260</v>
      </c>
      <c r="B92" s="7"/>
      <c r="C92" s="8">
        <f>[85]Sheet2!$J$5</f>
        <v>-19.395000000000003</v>
      </c>
      <c r="D92" s="8">
        <f>[85]Sheet2!$J$4</f>
        <v>34.515000000000001</v>
      </c>
      <c r="E92" s="7">
        <f>[85]Sheet2!$D$8</f>
        <v>514.80504244375834</v>
      </c>
      <c r="F92" s="7" t="str">
        <f>[85]Sheet2!$G$4</f>
        <v>Pungue</v>
      </c>
      <c r="G92" s="7" t="str">
        <f>[85]Sheet2!$G$5</f>
        <v>Mozambique</v>
      </c>
      <c r="H92" s="7" t="str">
        <f>[85]Sheet2!$H$8</f>
        <v>2</v>
      </c>
      <c r="I92" s="7">
        <f t="shared" si="49"/>
        <v>2</v>
      </c>
      <c r="J92" s="15" t="e">
        <f>[85]Sheet2!$H$9</f>
        <v>#N/A</v>
      </c>
      <c r="K92" s="19">
        <f>[85]Sheet2!$D$9</f>
        <v>12.712697372372675</v>
      </c>
      <c r="L92" s="9">
        <f>[85]Sheet2!$D$7</f>
        <v>43923</v>
      </c>
      <c r="N92" s="8">
        <f t="shared" si="50"/>
        <v>9999</v>
      </c>
      <c r="O92" s="8">
        <f t="shared" si="51"/>
        <v>9999</v>
      </c>
      <c r="P92" s="8">
        <f t="shared" si="52"/>
        <v>34.515000000000001</v>
      </c>
      <c r="Q92" s="8">
        <f t="shared" si="53"/>
        <v>-19.395000000000003</v>
      </c>
      <c r="R92" s="8">
        <f t="shared" si="54"/>
        <v>9999</v>
      </c>
      <c r="S92" s="8">
        <f t="shared" si="55"/>
        <v>9999</v>
      </c>
      <c r="T92" s="8">
        <f t="shared" si="56"/>
        <v>9999</v>
      </c>
      <c r="U92" s="8">
        <f t="shared" si="57"/>
        <v>9999</v>
      </c>
      <c r="V92" s="8">
        <f t="shared" si="58"/>
        <v>9999</v>
      </c>
      <c r="W92" s="8">
        <f t="shared" si="59"/>
        <v>9999</v>
      </c>
    </row>
    <row r="93" spans="1:23" x14ac:dyDescent="0.2">
      <c r="A93" s="7">
        <v>261</v>
      </c>
      <c r="B93" s="7"/>
      <c r="C93" s="8">
        <f>[86]Sheet2!$J$5</f>
        <v>-15.345000000000001</v>
      </c>
      <c r="D93" s="8">
        <f>[86]Sheet2!$J$4</f>
        <v>30.375</v>
      </c>
      <c r="E93" s="7">
        <f>[86]Sheet2!$D$8</f>
        <v>1925.7676963640843</v>
      </c>
      <c r="F93" s="7" t="str">
        <f>[86]Sheet2!$G$4</f>
        <v>Luangwa</v>
      </c>
      <c r="G93" s="7" t="str">
        <f>[86]Sheet2!$G$5</f>
        <v>Zambia</v>
      </c>
      <c r="H93" s="7" t="str">
        <f>[86]Sheet2!$H$8</f>
        <v>1</v>
      </c>
      <c r="I93" s="7">
        <f t="shared" si="49"/>
        <v>1</v>
      </c>
      <c r="J93" s="15" t="e">
        <f>[86]Sheet2!$H$9</f>
        <v>#N/A</v>
      </c>
      <c r="K93" s="19">
        <f>[85]Sheet2!$D$9</f>
        <v>12.712697372372675</v>
      </c>
      <c r="L93" s="9">
        <f>[85]Sheet2!$D$7</f>
        <v>43923</v>
      </c>
      <c r="N93" s="8">
        <f t="shared" si="50"/>
        <v>30.375</v>
      </c>
      <c r="O93" s="8">
        <f t="shared" si="51"/>
        <v>-15.345000000000001</v>
      </c>
      <c r="P93" s="8">
        <f t="shared" si="52"/>
        <v>9999</v>
      </c>
      <c r="Q93" s="8">
        <f t="shared" si="53"/>
        <v>9999</v>
      </c>
      <c r="R93" s="8">
        <f t="shared" si="54"/>
        <v>9999</v>
      </c>
      <c r="S93" s="8">
        <f t="shared" si="55"/>
        <v>9999</v>
      </c>
      <c r="T93" s="8">
        <f t="shared" si="56"/>
        <v>9999</v>
      </c>
      <c r="U93" s="8">
        <f t="shared" si="57"/>
        <v>9999</v>
      </c>
      <c r="V93" s="8">
        <f t="shared" si="58"/>
        <v>9999</v>
      </c>
      <c r="W93" s="8">
        <f t="shared" si="59"/>
        <v>9999</v>
      </c>
    </row>
    <row r="94" spans="1:23" x14ac:dyDescent="0.2">
      <c r="A94" s="7">
        <v>263</v>
      </c>
      <c r="B94" s="7"/>
      <c r="C94" s="8">
        <f>[87]Sheet2!$J$5</f>
        <v>16.603999999999999</v>
      </c>
      <c r="D94" s="8">
        <f>[87]Sheet2!$J$4</f>
        <v>-0.22399999999999998</v>
      </c>
      <c r="E94" s="7">
        <f>[87]Sheet2!$D$8</f>
        <v>153.8435457716696</v>
      </c>
      <c r="F94" s="7" t="str">
        <f>[87]Sheet2!$G$4</f>
        <v>Niger</v>
      </c>
      <c r="G94" s="7" t="str">
        <f>[87]Sheet2!$G$5</f>
        <v>Mali</v>
      </c>
      <c r="H94" s="7" t="str">
        <f>[87]Sheet2!$H$8</f>
        <v>1</v>
      </c>
      <c r="I94" s="7">
        <f t="shared" si="49"/>
        <v>1</v>
      </c>
      <c r="J94" s="15" t="e">
        <f>[87]Sheet2!$H$9</f>
        <v>#N/A</v>
      </c>
      <c r="K94" s="19">
        <f>[87]Sheet2!$D$9</f>
        <v>0.16341443100111619</v>
      </c>
      <c r="L94" s="9">
        <f>[87]Sheet2!$D$7</f>
        <v>43922</v>
      </c>
      <c r="N94" s="8">
        <f t="shared" si="50"/>
        <v>-0.22399999999999998</v>
      </c>
      <c r="O94" s="8">
        <f t="shared" si="51"/>
        <v>16.603999999999999</v>
      </c>
      <c r="P94" s="8">
        <f t="shared" si="52"/>
        <v>9999</v>
      </c>
      <c r="Q94" s="8">
        <f t="shared" si="53"/>
        <v>9999</v>
      </c>
      <c r="R94" s="8">
        <f t="shared" si="54"/>
        <v>9999</v>
      </c>
      <c r="S94" s="8">
        <f t="shared" si="55"/>
        <v>9999</v>
      </c>
      <c r="T94" s="8">
        <f t="shared" si="56"/>
        <v>9999</v>
      </c>
      <c r="U94" s="8">
        <f t="shared" si="57"/>
        <v>9999</v>
      </c>
      <c r="V94" s="8">
        <f t="shared" si="58"/>
        <v>9999</v>
      </c>
      <c r="W94" s="8">
        <f t="shared" si="59"/>
        <v>9999</v>
      </c>
    </row>
    <row r="95" spans="1:23" x14ac:dyDescent="0.2">
      <c r="A95" s="7">
        <v>265</v>
      </c>
      <c r="B95" s="7"/>
      <c r="C95" s="8">
        <f>[88]Sheet2!$J$5</f>
        <v>13.364000000000001</v>
      </c>
      <c r="D95" s="8">
        <f>[88]Sheet2!$J$4</f>
        <v>-6.524</v>
      </c>
      <c r="E95" s="7">
        <f>[88]Sheet2!$D$8</f>
        <v>764.35881132500435</v>
      </c>
      <c r="F95" s="7" t="str">
        <f>[88]Sheet2!$G$4</f>
        <v>Niger</v>
      </c>
      <c r="G95" s="7" t="str">
        <f>[88]Sheet2!$G$5</f>
        <v>Mali</v>
      </c>
      <c r="H95" s="7" t="str">
        <f>[88]Sheet2!$H$8</f>
        <v>2</v>
      </c>
      <c r="I95" s="7">
        <f t="shared" si="49"/>
        <v>2</v>
      </c>
      <c r="J95" s="15" t="e">
        <f>[88]Sheet2!$H$9</f>
        <v>#N/A</v>
      </c>
      <c r="K95" s="19">
        <f>[88]Sheet2!$D$9</f>
        <v>3.6286813912702187</v>
      </c>
      <c r="L95" s="9">
        <f>[88]Sheet2!$D$7</f>
        <v>43923</v>
      </c>
      <c r="N95" s="8">
        <f t="shared" si="50"/>
        <v>9999</v>
      </c>
      <c r="O95" s="8">
        <f t="shared" si="51"/>
        <v>9999</v>
      </c>
      <c r="P95" s="8">
        <f t="shared" si="52"/>
        <v>-6.524</v>
      </c>
      <c r="Q95" s="8">
        <f t="shared" si="53"/>
        <v>13.364000000000001</v>
      </c>
      <c r="R95" s="8">
        <f t="shared" si="54"/>
        <v>9999</v>
      </c>
      <c r="S95" s="8">
        <f t="shared" si="55"/>
        <v>9999</v>
      </c>
      <c r="T95" s="8">
        <f t="shared" si="56"/>
        <v>9999</v>
      </c>
      <c r="U95" s="8">
        <f t="shared" si="57"/>
        <v>9999</v>
      </c>
      <c r="V95" s="8">
        <f t="shared" si="58"/>
        <v>9999</v>
      </c>
      <c r="W95" s="8">
        <f t="shared" si="59"/>
        <v>9999</v>
      </c>
    </row>
    <row r="96" spans="1:23" x14ac:dyDescent="0.2">
      <c r="A96" s="7">
        <v>267</v>
      </c>
      <c r="B96" s="7"/>
      <c r="C96" s="8">
        <f>[89]Sheet2!$J$5</f>
        <v>10.664</v>
      </c>
      <c r="D96" s="8">
        <f>[89]Sheet2!$J$4</f>
        <v>-9.2240000000000002</v>
      </c>
      <c r="E96" s="7">
        <f>[89]Sheet2!$D$8</f>
        <v>164.49823452271463</v>
      </c>
      <c r="F96" s="7" t="str">
        <f>[89]Sheet2!$G$4</f>
        <v>Milo</v>
      </c>
      <c r="G96" s="7" t="str">
        <f>[89]Sheet2!$G$5</f>
        <v>Guinea</v>
      </c>
      <c r="H96" s="7" t="str">
        <f>[89]Sheet2!$H$8</f>
        <v>2</v>
      </c>
      <c r="I96" s="7">
        <f t="shared" si="49"/>
        <v>2</v>
      </c>
      <c r="J96" s="15" t="e">
        <f>[89]Sheet2!$H$9</f>
        <v>#N/A</v>
      </c>
      <c r="K96" s="19">
        <f>[89]Sheet2!$D$9</f>
        <v>7.5407045347171344</v>
      </c>
      <c r="L96" s="9">
        <f>[89]Sheet2!$D$7</f>
        <v>43923</v>
      </c>
      <c r="N96" s="8">
        <f t="shared" si="50"/>
        <v>9999</v>
      </c>
      <c r="O96" s="8">
        <f t="shared" si="51"/>
        <v>9999</v>
      </c>
      <c r="P96" s="8">
        <f t="shared" si="52"/>
        <v>-9.2240000000000002</v>
      </c>
      <c r="Q96" s="8">
        <f t="shared" si="53"/>
        <v>10.664</v>
      </c>
      <c r="R96" s="8">
        <f t="shared" si="54"/>
        <v>9999</v>
      </c>
      <c r="S96" s="8">
        <f t="shared" si="55"/>
        <v>9999</v>
      </c>
      <c r="T96" s="8">
        <f t="shared" si="56"/>
        <v>9999</v>
      </c>
      <c r="U96" s="8">
        <f t="shared" si="57"/>
        <v>9999</v>
      </c>
      <c r="V96" s="8">
        <f t="shared" si="58"/>
        <v>9999</v>
      </c>
      <c r="W96" s="8">
        <f t="shared" si="59"/>
        <v>9999</v>
      </c>
    </row>
    <row r="97" spans="1:23" x14ac:dyDescent="0.2">
      <c r="A97" s="7">
        <v>270</v>
      </c>
      <c r="B97" s="7"/>
      <c r="C97" s="8">
        <f>[90]Sheet2!$J$5</f>
        <v>16.154</v>
      </c>
      <c r="D97" s="8">
        <f>[90]Sheet2!$J$4</f>
        <v>-90.403999999999996</v>
      </c>
      <c r="E97" s="7">
        <f>[90]Sheet2!$D$8</f>
        <v>777.63723726316471</v>
      </c>
      <c r="F97" s="7" t="str">
        <f>[90]Sheet2!$G$4</f>
        <v>Chixoy</v>
      </c>
      <c r="G97" s="7" t="str">
        <f>[90]Sheet2!$G$5</f>
        <v>Guatemala</v>
      </c>
      <c r="H97" s="7" t="str">
        <f>[90]Sheet2!$H$8</f>
        <v>2</v>
      </c>
      <c r="I97" s="7">
        <f t="shared" si="49"/>
        <v>2</v>
      </c>
      <c r="J97" s="15" t="e">
        <f>[90]Sheet2!$H$9</f>
        <v>#N/A</v>
      </c>
      <c r="K97" s="19">
        <f>[90]Sheet2!$D$9</f>
        <v>54.746500525646297</v>
      </c>
      <c r="L97" s="9">
        <f>[90]Sheet2!$D$7</f>
        <v>43923</v>
      </c>
      <c r="N97" s="8">
        <f t="shared" si="50"/>
        <v>9999</v>
      </c>
      <c r="O97" s="8">
        <f t="shared" si="51"/>
        <v>9999</v>
      </c>
      <c r="P97" s="8">
        <f t="shared" si="52"/>
        <v>-90.403999999999996</v>
      </c>
      <c r="Q97" s="8">
        <f t="shared" si="53"/>
        <v>16.154</v>
      </c>
      <c r="R97" s="8">
        <f t="shared" si="54"/>
        <v>9999</v>
      </c>
      <c r="S97" s="8">
        <f t="shared" si="55"/>
        <v>9999</v>
      </c>
      <c r="T97" s="8">
        <f t="shared" si="56"/>
        <v>9999</v>
      </c>
      <c r="U97" s="8">
        <f t="shared" si="57"/>
        <v>9999</v>
      </c>
      <c r="V97" s="8">
        <f t="shared" si="58"/>
        <v>9999</v>
      </c>
      <c r="W97" s="8">
        <f t="shared" si="59"/>
        <v>9999</v>
      </c>
    </row>
    <row r="98" spans="1:23" x14ac:dyDescent="0.2">
      <c r="A98" s="7">
        <v>272</v>
      </c>
      <c r="B98" s="7"/>
      <c r="C98" s="8">
        <f>[91]Sheet2!$J$5</f>
        <v>12.103999999999999</v>
      </c>
      <c r="D98" s="8">
        <f>[91]Sheet2!$J$4</f>
        <v>-84.013999999999996</v>
      </c>
      <c r="E98" s="7">
        <f>[91]Sheet2!$D$8</f>
        <v>377.2659136000002</v>
      </c>
      <c r="F98" s="7" t="str">
        <f>[91]Sheet2!$G$4</f>
        <v>Escondido</v>
      </c>
      <c r="G98" s="7" t="str">
        <f>[91]Sheet2!$G$5</f>
        <v>Nicaragua</v>
      </c>
      <c r="H98" s="7" t="str">
        <f>[91]Sheet2!$H$8</f>
        <v>1</v>
      </c>
      <c r="I98" s="7">
        <f t="shared" si="49"/>
        <v>1</v>
      </c>
      <c r="J98" s="15" t="e">
        <f>[91]Sheet2!$H$9</f>
        <v>#N/A</v>
      </c>
      <c r="K98" s="19">
        <f>[91]Sheet2!$D$9</f>
        <v>42.316907692608616</v>
      </c>
      <c r="L98" s="9">
        <f>[91]Sheet2!$D$7</f>
        <v>43923</v>
      </c>
      <c r="N98" s="8">
        <f t="shared" si="50"/>
        <v>-84.013999999999996</v>
      </c>
      <c r="O98" s="8">
        <f t="shared" si="51"/>
        <v>12.103999999999999</v>
      </c>
      <c r="P98" s="8">
        <f t="shared" si="52"/>
        <v>9999</v>
      </c>
      <c r="Q98" s="8">
        <f t="shared" si="53"/>
        <v>9999</v>
      </c>
      <c r="R98" s="8">
        <f t="shared" si="54"/>
        <v>9999</v>
      </c>
      <c r="S98" s="8">
        <f t="shared" si="55"/>
        <v>9999</v>
      </c>
      <c r="T98" s="8">
        <f t="shared" si="56"/>
        <v>9999</v>
      </c>
      <c r="U98" s="8">
        <f t="shared" si="57"/>
        <v>9999</v>
      </c>
      <c r="V98" s="8">
        <f t="shared" si="58"/>
        <v>9999</v>
      </c>
      <c r="W98" s="8">
        <f t="shared" si="59"/>
        <v>9999</v>
      </c>
    </row>
    <row r="99" spans="1:23" x14ac:dyDescent="0.2">
      <c r="A99" s="7">
        <v>275</v>
      </c>
      <c r="B99" s="7"/>
      <c r="C99" s="8">
        <f>[92]Sheet2!$J$5</f>
        <v>-18.045000000000002</v>
      </c>
      <c r="D99" s="8">
        <f>[92]Sheet2!$J$4</f>
        <v>24.615000000000002</v>
      </c>
      <c r="E99" s="7">
        <f>[92]Sheet2!$D$8</f>
        <v>1472.9820576435259</v>
      </c>
      <c r="F99" s="7" t="str">
        <f>[92]Sheet2!$G$4</f>
        <v>Chobe</v>
      </c>
      <c r="G99" s="7" t="str">
        <f>[92]Sheet2!$G$5</f>
        <v>Namibia</v>
      </c>
      <c r="H99" s="7" t="str">
        <f>[92]Sheet2!$H$8</f>
        <v>2</v>
      </c>
      <c r="I99" s="7">
        <f t="shared" si="49"/>
        <v>2</v>
      </c>
      <c r="J99" s="15" t="e">
        <f>[92]Sheet2!$H$9</f>
        <v>#N/A</v>
      </c>
      <c r="K99" s="19">
        <f>[92]Sheet2!$D$9</f>
        <v>3.5044199490614991</v>
      </c>
      <c r="L99" s="9">
        <f>[92]Sheet2!$D$7</f>
        <v>43923</v>
      </c>
      <c r="N99" s="8">
        <f t="shared" si="50"/>
        <v>9999</v>
      </c>
      <c r="O99" s="8">
        <f t="shared" si="51"/>
        <v>9999</v>
      </c>
      <c r="P99" s="8">
        <f t="shared" si="52"/>
        <v>24.615000000000002</v>
      </c>
      <c r="Q99" s="8">
        <f t="shared" si="53"/>
        <v>-18.045000000000002</v>
      </c>
      <c r="R99" s="8">
        <f t="shared" si="54"/>
        <v>9999</v>
      </c>
      <c r="S99" s="8">
        <f t="shared" si="55"/>
        <v>9999</v>
      </c>
      <c r="T99" s="8">
        <f t="shared" si="56"/>
        <v>9999</v>
      </c>
      <c r="U99" s="8">
        <f t="shared" si="57"/>
        <v>9999</v>
      </c>
      <c r="V99" s="8">
        <f t="shared" si="58"/>
        <v>9999</v>
      </c>
      <c r="W99" s="8">
        <f t="shared" si="59"/>
        <v>9999</v>
      </c>
    </row>
    <row r="100" spans="1:23" x14ac:dyDescent="0.2">
      <c r="A100" s="7">
        <v>277</v>
      </c>
      <c r="B100" s="7"/>
      <c r="C100" s="8">
        <f>[93]Sheet2!$J$5</f>
        <v>-16.244999999999997</v>
      </c>
      <c r="D100" s="8">
        <f>[93]Sheet2!$J$4</f>
        <v>23.265000000000001</v>
      </c>
      <c r="E100" s="7">
        <f>[93]Sheet2!$D$8</f>
        <v>9845.1117221555178</v>
      </c>
      <c r="F100" s="7" t="str">
        <f>[93]Sheet2!$G$4</f>
        <v>Zambezi</v>
      </c>
      <c r="G100" s="7" t="str">
        <f>[93]Sheet2!$G$5</f>
        <v>Zambia</v>
      </c>
      <c r="H100" s="7" t="str">
        <f>[93]Sheet2!$H$8</f>
        <v>2</v>
      </c>
      <c r="I100" s="7">
        <f t="shared" si="49"/>
        <v>2</v>
      </c>
      <c r="J100" s="15" t="e">
        <f>[93]Sheet2!$H$9</f>
        <v>#N/A</v>
      </c>
      <c r="K100" s="19">
        <f>[93]Sheet2!$D$9</f>
        <v>21.094702511295974</v>
      </c>
      <c r="L100" s="9">
        <f>[93]Sheet2!$D$7</f>
        <v>43923</v>
      </c>
      <c r="N100" s="8">
        <f t="shared" si="50"/>
        <v>9999</v>
      </c>
      <c r="O100" s="8">
        <f t="shared" si="51"/>
        <v>9999</v>
      </c>
      <c r="P100" s="8">
        <f t="shared" si="52"/>
        <v>23.265000000000001</v>
      </c>
      <c r="Q100" s="8">
        <f t="shared" si="53"/>
        <v>-16.244999999999997</v>
      </c>
      <c r="R100" s="8">
        <f t="shared" si="54"/>
        <v>9999</v>
      </c>
      <c r="S100" s="8">
        <f t="shared" si="55"/>
        <v>9999</v>
      </c>
      <c r="T100" s="8">
        <f t="shared" si="56"/>
        <v>9999</v>
      </c>
      <c r="U100" s="8">
        <f t="shared" si="57"/>
        <v>9999</v>
      </c>
      <c r="V100" s="8">
        <f t="shared" si="58"/>
        <v>9999</v>
      </c>
      <c r="W100" s="8">
        <f t="shared" si="59"/>
        <v>9999</v>
      </c>
    </row>
    <row r="101" spans="1:23" x14ac:dyDescent="0.2">
      <c r="A101" s="7">
        <v>278</v>
      </c>
      <c r="B101" s="7"/>
      <c r="C101" s="8">
        <f>[94]Sheet2!$J$5</f>
        <v>-15.345000000000001</v>
      </c>
      <c r="D101" s="8">
        <f>[94]Sheet2!$J$4</f>
        <v>22.994999999999997</v>
      </c>
      <c r="E101" s="7">
        <f>[94]Sheet2!$D$8</f>
        <v>9274.782241255034</v>
      </c>
      <c r="F101" s="7" t="str">
        <f>[94]Sheet2!$G$4</f>
        <v>Zambezi</v>
      </c>
      <c r="G101" s="7" t="str">
        <f>[94]Sheet2!$G$5</f>
        <v>Zambia</v>
      </c>
      <c r="H101" s="7" t="str">
        <f>[94]Sheet2!$H$8</f>
        <v>2</v>
      </c>
      <c r="I101" s="7">
        <f t="shared" si="49"/>
        <v>2</v>
      </c>
      <c r="J101" s="15">
        <f>[94]Sheet2!$H$9</f>
        <v>1.1464531394370823</v>
      </c>
      <c r="K101" s="19">
        <f>[94]Sheet2!$D$9</f>
        <v>20.84564654743162</v>
      </c>
      <c r="L101" s="9">
        <f>[94]Sheet2!$D$7</f>
        <v>43923</v>
      </c>
      <c r="N101" s="8">
        <f>IF($I102=1,$D102,9999)</f>
        <v>20.744999999999997</v>
      </c>
      <c r="O101" s="8">
        <f>IF($I102=1,$C102,9999)</f>
        <v>-18.045000000000002</v>
      </c>
      <c r="P101" s="8">
        <f>IF($I102=2,$D102,9999)</f>
        <v>9999</v>
      </c>
      <c r="Q101" s="8">
        <f>IF($I102=2,$C102,9999)</f>
        <v>9999</v>
      </c>
      <c r="R101" s="8">
        <f>IF($I102=3,$D102,9999)</f>
        <v>9999</v>
      </c>
      <c r="S101" s="8">
        <f>IF($I102=3,$C102,9999)</f>
        <v>9999</v>
      </c>
      <c r="T101" s="8">
        <f>IF($I102=4,$D102,9999)</f>
        <v>9999</v>
      </c>
      <c r="U101" s="8">
        <f>IF($I102=4,$C102,9999)</f>
        <v>9999</v>
      </c>
      <c r="V101" s="8">
        <f t="shared" si="58"/>
        <v>9999</v>
      </c>
      <c r="W101" s="8">
        <f t="shared" si="59"/>
        <v>9999</v>
      </c>
    </row>
    <row r="102" spans="1:23" x14ac:dyDescent="0.2">
      <c r="A102" s="7">
        <v>281</v>
      </c>
      <c r="B102" s="7"/>
      <c r="C102" s="8">
        <f>[95]Sheet2!$J$5</f>
        <v>-18.045000000000002</v>
      </c>
      <c r="D102" s="8">
        <f>[95]Sheet2!$J$4</f>
        <v>20.744999999999997</v>
      </c>
      <c r="E102" s="7">
        <f>[95]Sheet2!$D$8</f>
        <v>556.13851728889131</v>
      </c>
      <c r="F102" s="7" t="str">
        <f>[95]Sheet2!$G$4</f>
        <v>Okavango</v>
      </c>
      <c r="G102" s="7" t="str">
        <f>[95]Sheet2!$G$5</f>
        <v>Angola</v>
      </c>
      <c r="H102" s="7" t="str">
        <f>[95]Sheet2!$H$8</f>
        <v>1</v>
      </c>
      <c r="I102" s="7">
        <f t="shared" si="49"/>
        <v>1</v>
      </c>
      <c r="J102" s="15">
        <f>[95]Sheet2!$H$9</f>
        <v>1.0060706768904748</v>
      </c>
      <c r="K102" s="19">
        <f>[95]Sheet2!$D$9</f>
        <v>155.03396569015348</v>
      </c>
      <c r="L102" s="9">
        <f>[95]Sheet2!$D$7</f>
        <v>43923</v>
      </c>
      <c r="N102" s="8">
        <f t="shared" si="50"/>
        <v>20.744999999999997</v>
      </c>
      <c r="O102" s="8">
        <f t="shared" si="51"/>
        <v>-18.045000000000002</v>
      </c>
      <c r="P102" s="8">
        <f t="shared" si="52"/>
        <v>9999</v>
      </c>
      <c r="Q102" s="8">
        <f t="shared" si="53"/>
        <v>9999</v>
      </c>
      <c r="R102" s="8">
        <f t="shared" si="54"/>
        <v>9999</v>
      </c>
      <c r="S102" s="8">
        <f t="shared" si="55"/>
        <v>9999</v>
      </c>
      <c r="T102" s="8">
        <f t="shared" si="56"/>
        <v>9999</v>
      </c>
      <c r="U102" s="8">
        <f t="shared" si="57"/>
        <v>9999</v>
      </c>
      <c r="V102" s="8">
        <f t="shared" si="58"/>
        <v>9999</v>
      </c>
      <c r="W102" s="8">
        <f t="shared" si="59"/>
        <v>9999</v>
      </c>
    </row>
    <row r="103" spans="1:23" x14ac:dyDescent="0.2">
      <c r="A103" s="7">
        <v>282</v>
      </c>
      <c r="B103" s="7"/>
      <c r="C103" s="8">
        <f>[96]Sheet2!$J$5</f>
        <v>-18.765000000000001</v>
      </c>
      <c r="D103" s="8">
        <f>[96]Sheet2!$J$4</f>
        <v>22.274999999999999</v>
      </c>
      <c r="E103" s="7">
        <f>[96]Sheet2!$D$8</f>
        <v>1822.2877488304118</v>
      </c>
      <c r="F103" s="7" t="str">
        <f>[96]Sheet2!$G$4</f>
        <v>Okavango</v>
      </c>
      <c r="G103" s="7" t="str">
        <f>[96]Sheet2!$G$5</f>
        <v>Botswana</v>
      </c>
      <c r="H103" s="7" t="str">
        <f>[96]Sheet2!$H$8</f>
        <v>2</v>
      </c>
      <c r="I103" s="7">
        <f t="shared" si="49"/>
        <v>2</v>
      </c>
      <c r="J103" s="15" t="e">
        <f>[96]Sheet2!$H$9</f>
        <v>#N/A</v>
      </c>
      <c r="K103" s="19">
        <f>[96]Sheet2!$D$9</f>
        <v>4.4165789452372168</v>
      </c>
      <c r="L103" s="9">
        <f>[96]Sheet2!$D$7</f>
        <v>43923</v>
      </c>
      <c r="N103" s="8">
        <f t="shared" si="50"/>
        <v>9999</v>
      </c>
      <c r="O103" s="8">
        <f t="shared" si="51"/>
        <v>9999</v>
      </c>
      <c r="P103" s="8">
        <f t="shared" si="52"/>
        <v>22.274999999999999</v>
      </c>
      <c r="Q103" s="8">
        <f t="shared" si="53"/>
        <v>-18.765000000000001</v>
      </c>
      <c r="R103" s="8">
        <f t="shared" si="54"/>
        <v>9999</v>
      </c>
      <c r="S103" s="8">
        <f t="shared" si="55"/>
        <v>9999</v>
      </c>
      <c r="T103" s="8">
        <f t="shared" si="56"/>
        <v>9999</v>
      </c>
      <c r="U103" s="8">
        <f t="shared" si="57"/>
        <v>9999</v>
      </c>
      <c r="V103" s="8">
        <f t="shared" si="58"/>
        <v>9999</v>
      </c>
      <c r="W103" s="8">
        <f t="shared" si="59"/>
        <v>9999</v>
      </c>
    </row>
    <row r="104" spans="1:23" x14ac:dyDescent="0.2">
      <c r="A104" s="7">
        <v>284</v>
      </c>
      <c r="B104" s="7"/>
      <c r="C104" s="8">
        <f>[97]Sheet2!$J$5</f>
        <v>31.543999999999997</v>
      </c>
      <c r="D104" s="8">
        <f>[97]Sheet2!$J$4</f>
        <v>72.495000000000005</v>
      </c>
      <c r="E104" s="7">
        <f>[97]Sheet2!$D$8</f>
        <v>688.22607006857208</v>
      </c>
      <c r="F104" s="7" t="str">
        <f>[97]Sheet2!$G$4</f>
        <v>Chenab</v>
      </c>
      <c r="G104" s="7" t="str">
        <f>[97]Sheet2!$G$5</f>
        <v>Pakistan</v>
      </c>
      <c r="H104" s="7" t="str">
        <f>[97]Sheet2!$H$8</f>
        <v>2</v>
      </c>
      <c r="I104" s="7">
        <f t="shared" si="49"/>
        <v>2</v>
      </c>
      <c r="J104" s="15" t="e">
        <f>[97]Sheet2!$H$9</f>
        <v>#N/A</v>
      </c>
      <c r="K104" s="19">
        <f>[97]Sheet2!$D$9</f>
        <v>6.2508431266050115</v>
      </c>
      <c r="L104" s="9">
        <f>[97]Sheet2!$D$7</f>
        <v>43922</v>
      </c>
      <c r="N104" s="8">
        <f t="shared" si="50"/>
        <v>9999</v>
      </c>
      <c r="O104" s="8">
        <f t="shared" si="51"/>
        <v>9999</v>
      </c>
      <c r="P104" s="8">
        <f t="shared" si="52"/>
        <v>72.495000000000005</v>
      </c>
      <c r="Q104" s="8">
        <f t="shared" si="53"/>
        <v>31.543999999999997</v>
      </c>
      <c r="R104" s="8">
        <f t="shared" si="54"/>
        <v>9999</v>
      </c>
      <c r="S104" s="8">
        <f t="shared" si="55"/>
        <v>9999</v>
      </c>
      <c r="T104" s="8">
        <f t="shared" si="56"/>
        <v>9999</v>
      </c>
      <c r="U104" s="8">
        <f t="shared" si="57"/>
        <v>9999</v>
      </c>
      <c r="V104" s="8">
        <f t="shared" si="58"/>
        <v>9999</v>
      </c>
      <c r="W104" s="8">
        <f t="shared" si="59"/>
        <v>9999</v>
      </c>
    </row>
    <row r="105" spans="1:23" x14ac:dyDescent="0.2">
      <c r="A105" s="7">
        <v>285</v>
      </c>
      <c r="B105" s="7"/>
      <c r="C105" s="8">
        <f>[98]Sheet2!$J$5</f>
        <v>31.904</v>
      </c>
      <c r="D105" s="8">
        <f>[98]Sheet2!$J$4</f>
        <v>72.224999999999994</v>
      </c>
      <c r="E105" s="7">
        <f>[98]Sheet2!$D$8</f>
        <v>303.06590205391592</v>
      </c>
      <c r="F105" s="7" t="str">
        <f>[98]Sheet2!$G$4</f>
        <v>Jhelum</v>
      </c>
      <c r="G105" s="7" t="str">
        <f>[98]Sheet2!$G$5</f>
        <v>Pakistan</v>
      </c>
      <c r="H105" s="7" t="str">
        <f>[98]Sheet2!$H$8</f>
        <v>1</v>
      </c>
      <c r="I105" s="7">
        <f t="shared" si="49"/>
        <v>1</v>
      </c>
      <c r="J105" s="15" t="e">
        <f>[98]Sheet2!$H$9</f>
        <v>#N/A</v>
      </c>
      <c r="K105" s="19">
        <f>[98]Sheet2!$D$9</f>
        <v>3.7478554696677584</v>
      </c>
      <c r="L105" s="9">
        <f>[98]Sheet2!$D$7</f>
        <v>43922</v>
      </c>
      <c r="N105" s="8">
        <f t="shared" si="50"/>
        <v>72.224999999999994</v>
      </c>
      <c r="O105" s="8">
        <f t="shared" si="51"/>
        <v>31.904</v>
      </c>
      <c r="P105" s="8">
        <f t="shared" si="52"/>
        <v>9999</v>
      </c>
      <c r="Q105" s="8">
        <f t="shared" si="53"/>
        <v>9999</v>
      </c>
      <c r="R105" s="8">
        <f t="shared" si="54"/>
        <v>9999</v>
      </c>
      <c r="S105" s="8">
        <f t="shared" si="55"/>
        <v>9999</v>
      </c>
      <c r="T105" s="8">
        <f t="shared" si="56"/>
        <v>9999</v>
      </c>
      <c r="U105" s="8">
        <f t="shared" si="57"/>
        <v>9999</v>
      </c>
      <c r="V105" s="8">
        <f t="shared" si="58"/>
        <v>9999</v>
      </c>
      <c r="W105" s="8">
        <f t="shared" si="59"/>
        <v>9999</v>
      </c>
    </row>
    <row r="106" spans="1:23" x14ac:dyDescent="0.2">
      <c r="A106" s="7">
        <v>286</v>
      </c>
      <c r="B106" s="7"/>
      <c r="C106" s="8">
        <f>[99]Sheet2!$J$5</f>
        <v>32.263999999999996</v>
      </c>
      <c r="D106" s="8">
        <f>[99]Sheet2!$J$4</f>
        <v>73.575000000000003</v>
      </c>
      <c r="E106" s="7">
        <f>[99]Sheet2!$D$8</f>
        <v>812.51997066948297</v>
      </c>
      <c r="F106" s="7" t="str">
        <f>[99]Sheet2!$G$4</f>
        <v>Chenab</v>
      </c>
      <c r="G106" s="7" t="str">
        <f>[99]Sheet2!$G$5</f>
        <v>Pakistan</v>
      </c>
      <c r="H106" s="7" t="str">
        <f>[99]Sheet2!$H$8</f>
        <v>2</v>
      </c>
      <c r="I106" s="7">
        <f t="shared" si="49"/>
        <v>2</v>
      </c>
      <c r="J106" s="15" t="e">
        <f>[99]Sheet2!$H$9</f>
        <v>#N/A</v>
      </c>
      <c r="K106" s="19">
        <f>[99]Sheet2!$D$9</f>
        <v>8.3761976476527487</v>
      </c>
      <c r="L106" s="9">
        <f>[99]Sheet2!$D$7</f>
        <v>43922</v>
      </c>
      <c r="N106" s="8">
        <f t="shared" si="50"/>
        <v>9999</v>
      </c>
      <c r="O106" s="8">
        <f t="shared" si="51"/>
        <v>9999</v>
      </c>
      <c r="P106" s="8">
        <f t="shared" si="52"/>
        <v>73.575000000000003</v>
      </c>
      <c r="Q106" s="8">
        <f t="shared" si="53"/>
        <v>32.263999999999996</v>
      </c>
      <c r="R106" s="8">
        <f t="shared" si="54"/>
        <v>9999</v>
      </c>
      <c r="S106" s="8">
        <f t="shared" si="55"/>
        <v>9999</v>
      </c>
      <c r="T106" s="8">
        <f t="shared" si="56"/>
        <v>9999</v>
      </c>
      <c r="U106" s="8">
        <f t="shared" si="57"/>
        <v>9999</v>
      </c>
      <c r="V106" s="8">
        <f t="shared" si="58"/>
        <v>9999</v>
      </c>
      <c r="W106" s="8">
        <f t="shared" si="59"/>
        <v>9999</v>
      </c>
    </row>
    <row r="107" spans="1:23" x14ac:dyDescent="0.2">
      <c r="A107" s="7">
        <v>288</v>
      </c>
      <c r="B107" s="7"/>
      <c r="C107" s="8">
        <f>[100]Sheet2!$J$5</f>
        <v>31.363999999999997</v>
      </c>
      <c r="D107" s="8">
        <f>[100]Sheet2!$J$4</f>
        <v>74.025000000000006</v>
      </c>
      <c r="E107" s="7">
        <f>[100]Sheet2!$D$8</f>
        <v>238.47657141965561</v>
      </c>
      <c r="F107" s="7" t="str">
        <f>[100]Sheet2!$G$4</f>
        <v>Ravi</v>
      </c>
      <c r="G107" s="7" t="str">
        <f>[100]Sheet2!$G$5</f>
        <v>Pakistan</v>
      </c>
      <c r="H107" s="7" t="str">
        <f>[100]Sheet2!$H$8</f>
        <v>2</v>
      </c>
      <c r="I107" s="7">
        <f t="shared" si="49"/>
        <v>2</v>
      </c>
      <c r="J107" s="15" t="e">
        <f>[100]Sheet2!$H$9</f>
        <v>#N/A</v>
      </c>
      <c r="K107" s="19">
        <f>[100]Sheet2!$D$9</f>
        <v>6.7566475017930054</v>
      </c>
      <c r="L107" s="9">
        <f>[100]Sheet2!$D$7</f>
        <v>43922</v>
      </c>
      <c r="N107" s="8">
        <f t="shared" si="50"/>
        <v>9999</v>
      </c>
      <c r="O107" s="8">
        <f t="shared" si="51"/>
        <v>9999</v>
      </c>
      <c r="P107" s="8">
        <f t="shared" si="52"/>
        <v>74.025000000000006</v>
      </c>
      <c r="Q107" s="8">
        <f t="shared" si="53"/>
        <v>31.363999999999997</v>
      </c>
      <c r="R107" s="8">
        <f t="shared" si="54"/>
        <v>9999</v>
      </c>
      <c r="S107" s="8">
        <f t="shared" si="55"/>
        <v>9999</v>
      </c>
      <c r="T107" s="8">
        <f t="shared" si="56"/>
        <v>9999</v>
      </c>
      <c r="U107" s="8">
        <f t="shared" si="57"/>
        <v>9999</v>
      </c>
      <c r="V107" s="8">
        <f t="shared" si="58"/>
        <v>9999</v>
      </c>
      <c r="W107" s="8">
        <f t="shared" si="59"/>
        <v>9999</v>
      </c>
    </row>
    <row r="108" spans="1:23" x14ac:dyDescent="0.2">
      <c r="A108" s="7">
        <v>290</v>
      </c>
      <c r="B108" s="7"/>
      <c r="C108" s="8">
        <f>[101]Sheet2!$J$5</f>
        <v>31.094000000000001</v>
      </c>
      <c r="D108" s="8">
        <f>[101]Sheet2!$J$4</f>
        <v>70.784999999999997</v>
      </c>
      <c r="E108" s="7">
        <f>[101]Sheet2!$D$8</f>
        <v>844.99221237833967</v>
      </c>
      <c r="F108" s="7" t="str">
        <f>[101]Sheet2!$G$4</f>
        <v>Indus</v>
      </c>
      <c r="G108" s="7" t="str">
        <f>[101]Sheet2!$G$5</f>
        <v>Pakistan</v>
      </c>
      <c r="H108" s="7" t="str">
        <f>[101]Sheet2!$H$8</f>
        <v>2</v>
      </c>
      <c r="I108" s="7">
        <f t="shared" si="49"/>
        <v>2</v>
      </c>
      <c r="J108" s="15" t="e">
        <f>[101]Sheet2!$H$9</f>
        <v>#N/A</v>
      </c>
      <c r="K108" s="19">
        <f>[101]Sheet2!$D$9</f>
        <v>1.3400151313793041</v>
      </c>
      <c r="L108" s="9">
        <f>[101]Sheet2!$D$7</f>
        <v>43922</v>
      </c>
      <c r="N108" s="8">
        <f t="shared" si="50"/>
        <v>9999</v>
      </c>
      <c r="O108" s="8">
        <f t="shared" si="51"/>
        <v>9999</v>
      </c>
      <c r="P108" s="8">
        <f t="shared" si="52"/>
        <v>70.784999999999997</v>
      </c>
      <c r="Q108" s="8">
        <f t="shared" si="53"/>
        <v>31.094000000000001</v>
      </c>
      <c r="R108" s="8">
        <f t="shared" si="54"/>
        <v>9999</v>
      </c>
      <c r="S108" s="8">
        <f t="shared" si="55"/>
        <v>9999</v>
      </c>
      <c r="T108" s="8">
        <f t="shared" si="56"/>
        <v>9999</v>
      </c>
      <c r="U108" s="8">
        <f t="shared" si="57"/>
        <v>9999</v>
      </c>
      <c r="V108" s="8">
        <f t="shared" si="58"/>
        <v>9999</v>
      </c>
      <c r="W108" s="8">
        <f t="shared" si="59"/>
        <v>9999</v>
      </c>
    </row>
    <row r="109" spans="1:23" x14ac:dyDescent="0.2">
      <c r="A109" s="7">
        <v>291</v>
      </c>
      <c r="B109" s="7"/>
      <c r="C109" s="8">
        <f>[102]Sheet2!$J$5</f>
        <v>31.634</v>
      </c>
      <c r="D109" s="8">
        <f>[102]Sheet2!$J$4</f>
        <v>70.875</v>
      </c>
      <c r="E109" s="7">
        <f>[102]Sheet2!$D$8</f>
        <v>2285.3902639796224</v>
      </c>
      <c r="F109" s="7" t="str">
        <f>[102]Sheet2!$G$4</f>
        <v>Indus</v>
      </c>
      <c r="G109" s="7" t="str">
        <f>[102]Sheet2!$G$5</f>
        <v>Pakistan</v>
      </c>
      <c r="H109" s="7" t="str">
        <f>[102]Sheet2!$H$8</f>
        <v>2</v>
      </c>
      <c r="I109" s="7">
        <f t="shared" si="49"/>
        <v>2</v>
      </c>
      <c r="J109" s="15" t="e">
        <f>[102]Sheet2!$H$9</f>
        <v>#N/A</v>
      </c>
      <c r="K109" s="19">
        <f>[102]Sheet2!$D$9</f>
        <v>3.5162205989899786</v>
      </c>
      <c r="L109" s="9">
        <f>[102]Sheet2!$D$7</f>
        <v>43922</v>
      </c>
      <c r="N109" s="8">
        <f t="shared" si="50"/>
        <v>9999</v>
      </c>
      <c r="O109" s="8">
        <f t="shared" si="51"/>
        <v>9999</v>
      </c>
      <c r="P109" s="8">
        <f t="shared" si="52"/>
        <v>70.875</v>
      </c>
      <c r="Q109" s="8">
        <f t="shared" si="53"/>
        <v>31.634</v>
      </c>
      <c r="R109" s="8">
        <f t="shared" si="54"/>
        <v>9999</v>
      </c>
      <c r="S109" s="8">
        <f t="shared" si="55"/>
        <v>9999</v>
      </c>
      <c r="T109" s="8">
        <f t="shared" si="56"/>
        <v>9999</v>
      </c>
      <c r="U109" s="8">
        <f t="shared" si="57"/>
        <v>9999</v>
      </c>
      <c r="V109" s="8">
        <f t="shared" si="58"/>
        <v>9999</v>
      </c>
      <c r="W109" s="8">
        <f t="shared" si="59"/>
        <v>9999</v>
      </c>
    </row>
    <row r="110" spans="1:23" x14ac:dyDescent="0.2">
      <c r="A110" s="7">
        <v>292</v>
      </c>
      <c r="B110" s="7"/>
      <c r="C110" s="8">
        <f>[103]Sheet2!$J$5</f>
        <v>32.173999999999999</v>
      </c>
      <c r="D110" s="8">
        <f>[103]Sheet2!$J$4</f>
        <v>71.234999999999999</v>
      </c>
      <c r="E110" s="7">
        <f>[103]Sheet2!$D$8</f>
        <v>167.09705826915979</v>
      </c>
      <c r="F110" s="7" t="str">
        <f>[103]Sheet2!$G$4</f>
        <v>Indus</v>
      </c>
      <c r="G110" s="7" t="str">
        <f>[103]Sheet2!$G$5</f>
        <v>Pakistan</v>
      </c>
      <c r="H110" s="7" t="str">
        <f>[103]Sheet2!$H$8</f>
        <v>1</v>
      </c>
      <c r="I110" s="7">
        <f t="shared" si="49"/>
        <v>1</v>
      </c>
      <c r="J110" s="15" t="e">
        <f>[103]Sheet2!$H$9</f>
        <v>#N/A</v>
      </c>
      <c r="K110" s="19">
        <f>[103]Sheet2!$D$9</f>
        <v>0.8274327254010736</v>
      </c>
      <c r="L110" s="9">
        <f>[103]Sheet2!$D$7</f>
        <v>43922</v>
      </c>
      <c r="N110" s="8">
        <f t="shared" si="50"/>
        <v>71.234999999999999</v>
      </c>
      <c r="O110" s="8">
        <f t="shared" si="51"/>
        <v>32.173999999999999</v>
      </c>
      <c r="P110" s="8">
        <f t="shared" si="52"/>
        <v>9999</v>
      </c>
      <c r="Q110" s="8">
        <f t="shared" si="53"/>
        <v>9999</v>
      </c>
      <c r="R110" s="8">
        <f t="shared" si="54"/>
        <v>9999</v>
      </c>
      <c r="S110" s="8">
        <f t="shared" si="55"/>
        <v>9999</v>
      </c>
      <c r="T110" s="8">
        <f t="shared" si="56"/>
        <v>9999</v>
      </c>
      <c r="U110" s="8">
        <f t="shared" si="57"/>
        <v>9999</v>
      </c>
      <c r="V110" s="8">
        <f t="shared" si="58"/>
        <v>9999</v>
      </c>
      <c r="W110" s="8">
        <f t="shared" si="59"/>
        <v>9999</v>
      </c>
    </row>
    <row r="111" spans="1:23" x14ac:dyDescent="0.2">
      <c r="A111" s="7">
        <v>294</v>
      </c>
      <c r="B111" s="7"/>
      <c r="C111" s="8">
        <f>[104]Sheet2!$J$5</f>
        <v>33.974000000000004</v>
      </c>
      <c r="D111" s="8">
        <f>[104]Sheet2!$J$4</f>
        <v>72.495000000000005</v>
      </c>
      <c r="E111" s="7">
        <f>[104]Sheet2!$D$8</f>
        <v>294.23719548453391</v>
      </c>
      <c r="F111" s="7" t="str">
        <f>[104]Sheet2!$G$4</f>
        <v>Indus</v>
      </c>
      <c r="G111" s="7" t="str">
        <f>[104]Sheet2!$G$5</f>
        <v>Pakistan</v>
      </c>
      <c r="H111" s="7" t="str">
        <f>[104]Sheet2!$H$8</f>
        <v>1</v>
      </c>
      <c r="I111" s="7">
        <f t="shared" si="49"/>
        <v>1</v>
      </c>
      <c r="J111" s="15">
        <f>[104]Sheet2!$H$9</f>
        <v>0.73477511493804781</v>
      </c>
      <c r="K111" s="19">
        <f>[104]Sheet2!$D$9</f>
        <v>0.86768788174516176</v>
      </c>
      <c r="L111" s="9">
        <f>[104]Sheet2!$D$7</f>
        <v>43922</v>
      </c>
      <c r="N111" s="8">
        <f t="shared" si="50"/>
        <v>72.495000000000005</v>
      </c>
      <c r="O111" s="8">
        <f t="shared" si="51"/>
        <v>33.974000000000004</v>
      </c>
      <c r="P111" s="8">
        <f t="shared" si="52"/>
        <v>9999</v>
      </c>
      <c r="Q111" s="8">
        <f t="shared" si="53"/>
        <v>9999</v>
      </c>
      <c r="R111" s="8">
        <f t="shared" si="54"/>
        <v>9999</v>
      </c>
      <c r="S111" s="8">
        <f t="shared" si="55"/>
        <v>9999</v>
      </c>
      <c r="T111" s="8">
        <f t="shared" si="56"/>
        <v>9999</v>
      </c>
      <c r="U111" s="8">
        <f t="shared" si="57"/>
        <v>9999</v>
      </c>
      <c r="V111" s="8">
        <f t="shared" si="58"/>
        <v>9999</v>
      </c>
      <c r="W111" s="8">
        <f t="shared" si="59"/>
        <v>9999</v>
      </c>
    </row>
    <row r="112" spans="1:23" x14ac:dyDescent="0.2">
      <c r="A112" s="7">
        <v>296</v>
      </c>
      <c r="B112" s="7"/>
      <c r="C112" s="8">
        <f>[105]Sheet2!$J$5</f>
        <v>34.334000000000003</v>
      </c>
      <c r="D112" s="8">
        <f>[105]Sheet2!$J$4</f>
        <v>70.784999999999997</v>
      </c>
      <c r="E112" s="7">
        <f>[105]Sheet2!$D$8</f>
        <v>378.91749323127181</v>
      </c>
      <c r="F112" s="7" t="str">
        <f>[105]Sheet2!$G$4</f>
        <v>Kabul</v>
      </c>
      <c r="G112" s="7" t="str">
        <f>[105]Sheet2!$G$5</f>
        <v>Pakistan</v>
      </c>
      <c r="H112" s="7" t="str">
        <f>[105]Sheet2!$H$8</f>
        <v>2</v>
      </c>
      <c r="I112" s="7">
        <f t="shared" si="49"/>
        <v>2</v>
      </c>
      <c r="J112" s="15" t="e">
        <f>[105]Sheet2!$H$9</f>
        <v>#N/A</v>
      </c>
      <c r="K112" s="19" t="e">
        <f>[105]Sheet2!$D$9</f>
        <v>#N/A</v>
      </c>
      <c r="L112" s="9">
        <f>[105]Sheet2!$D$7</f>
        <v>43922</v>
      </c>
      <c r="N112" s="8">
        <f t="shared" si="50"/>
        <v>9999</v>
      </c>
      <c r="O112" s="8">
        <f t="shared" si="51"/>
        <v>9999</v>
      </c>
      <c r="P112" s="8">
        <f t="shared" si="52"/>
        <v>70.784999999999997</v>
      </c>
      <c r="Q112" s="8">
        <f t="shared" si="53"/>
        <v>34.334000000000003</v>
      </c>
      <c r="R112" s="8">
        <f t="shared" si="54"/>
        <v>9999</v>
      </c>
      <c r="S112" s="8">
        <f t="shared" si="55"/>
        <v>9999</v>
      </c>
      <c r="T112" s="8">
        <f t="shared" si="56"/>
        <v>9999</v>
      </c>
      <c r="U112" s="8">
        <f t="shared" si="57"/>
        <v>9999</v>
      </c>
      <c r="V112" s="8">
        <f t="shared" si="58"/>
        <v>9999</v>
      </c>
      <c r="W112" s="8">
        <f t="shared" si="59"/>
        <v>9999</v>
      </c>
    </row>
    <row r="113" spans="1:23" x14ac:dyDescent="0.2">
      <c r="A113" s="7">
        <v>297</v>
      </c>
      <c r="B113" s="7"/>
      <c r="C113" s="8">
        <f>[106]Sheet2!$J$5</f>
        <v>69.614000000000004</v>
      </c>
      <c r="D113" s="8">
        <f>[106]Sheet2!$J$4</f>
        <v>124.965</v>
      </c>
      <c r="E113" s="7">
        <f>[106]Sheet2!$D$8</f>
        <v>12770.474491902854</v>
      </c>
      <c r="F113" s="7" t="str">
        <f>[106]Sheet2!$G$4</f>
        <v>Lena</v>
      </c>
      <c r="G113" s="7" t="str">
        <f>[106]Sheet2!$G$5</f>
        <v>Russia</v>
      </c>
      <c r="H113" s="7" t="str">
        <f>[106]Sheet2!$H$8</f>
        <v>2</v>
      </c>
      <c r="I113" s="7">
        <f t="shared" si="49"/>
        <v>2</v>
      </c>
      <c r="J113" s="15">
        <f>[106]Sheet2!$H$9</f>
        <v>1.4164842301049254</v>
      </c>
      <c r="K113" s="19">
        <f>[106]Sheet2!$D$9</f>
        <v>3.3757019766643683</v>
      </c>
      <c r="L113" s="9">
        <f>[106]Sheet2!$D$7</f>
        <v>43279</v>
      </c>
      <c r="N113" s="8">
        <f t="shared" si="50"/>
        <v>9999</v>
      </c>
      <c r="O113" s="8">
        <f t="shared" si="51"/>
        <v>9999</v>
      </c>
      <c r="P113" s="8">
        <f t="shared" si="52"/>
        <v>124.965</v>
      </c>
      <c r="Q113" s="8">
        <f t="shared" si="53"/>
        <v>69.614000000000004</v>
      </c>
      <c r="R113" s="8">
        <f t="shared" si="54"/>
        <v>9999</v>
      </c>
      <c r="S113" s="8">
        <f t="shared" si="55"/>
        <v>9999</v>
      </c>
      <c r="T113" s="8">
        <f t="shared" si="56"/>
        <v>9999</v>
      </c>
      <c r="U113" s="8">
        <f t="shared" si="57"/>
        <v>9999</v>
      </c>
      <c r="V113" s="8">
        <f t="shared" si="58"/>
        <v>9999</v>
      </c>
      <c r="W113" s="8">
        <f t="shared" si="59"/>
        <v>9999</v>
      </c>
    </row>
    <row r="114" spans="1:23" x14ac:dyDescent="0.2">
      <c r="A114" s="7">
        <v>317</v>
      </c>
      <c r="B114" s="7"/>
      <c r="C114" s="8">
        <f>[107]Sheet2!$J$5</f>
        <v>59.084000000000003</v>
      </c>
      <c r="D114" s="8">
        <f>[107]Sheet2!$J$4</f>
        <v>80.954999999999998</v>
      </c>
      <c r="E114" s="7">
        <f>[107]Sheet2!$D$8</f>
        <v>1182.2641141394365</v>
      </c>
      <c r="F114" s="7" t="str">
        <f>[107]Sheet2!$G$4</f>
        <v>Ob</v>
      </c>
      <c r="G114" s="7" t="str">
        <f>[107]Sheet2!$G$5</f>
        <v>Russia</v>
      </c>
      <c r="H114" s="7" t="str">
        <f>[107]Sheet2!$H$8</f>
        <v>1</v>
      </c>
      <c r="I114" s="7">
        <f t="shared" si="49"/>
        <v>1</v>
      </c>
      <c r="J114" s="15" t="e">
        <f>[107]Sheet2!$H$9</f>
        <v>#N/A</v>
      </c>
      <c r="K114" s="19">
        <f>[107]Sheet2!$D$9</f>
        <v>1.4310568271001283</v>
      </c>
      <c r="L114" s="9">
        <f>[107]Sheet2!$D$7</f>
        <v>43923</v>
      </c>
      <c r="N114" s="8">
        <f t="shared" si="50"/>
        <v>80.954999999999998</v>
      </c>
      <c r="O114" s="8">
        <f t="shared" si="51"/>
        <v>59.084000000000003</v>
      </c>
      <c r="P114" s="8">
        <f t="shared" si="52"/>
        <v>9999</v>
      </c>
      <c r="Q114" s="8">
        <f t="shared" si="53"/>
        <v>9999</v>
      </c>
      <c r="R114" s="8">
        <f t="shared" si="54"/>
        <v>9999</v>
      </c>
      <c r="S114" s="8">
        <f t="shared" si="55"/>
        <v>9999</v>
      </c>
      <c r="T114" s="8">
        <f t="shared" si="56"/>
        <v>9999</v>
      </c>
      <c r="U114" s="8">
        <f t="shared" si="57"/>
        <v>9999</v>
      </c>
      <c r="V114" s="8">
        <f t="shared" si="58"/>
        <v>9999</v>
      </c>
      <c r="W114" s="8">
        <f t="shared" si="59"/>
        <v>9999</v>
      </c>
    </row>
    <row r="115" spans="1:23" x14ac:dyDescent="0.2">
      <c r="A115" s="7">
        <v>318</v>
      </c>
      <c r="B115" s="7"/>
      <c r="C115" s="8">
        <f>[108]Sheet2!$J$5</f>
        <v>59.893999999999998</v>
      </c>
      <c r="D115" s="8">
        <f>[108]Sheet2!$J$4</f>
        <v>78.974999999999994</v>
      </c>
      <c r="E115" s="7">
        <f>[108]Sheet2!$D$8</f>
        <v>2943.2463375576654</v>
      </c>
      <c r="F115" s="7" t="str">
        <f>[108]Sheet2!$G$4</f>
        <v>Ob</v>
      </c>
      <c r="G115" s="7" t="str">
        <f>[108]Sheet2!$G$5</f>
        <v>Russia</v>
      </c>
      <c r="H115" s="7" t="str">
        <f>[108]Sheet2!$H$8</f>
        <v>1</v>
      </c>
      <c r="I115" s="7">
        <f t="shared" si="49"/>
        <v>1</v>
      </c>
      <c r="J115" s="15" t="e">
        <f>[108]Sheet2!$H$9</f>
        <v>#N/A</v>
      </c>
      <c r="K115" s="19">
        <f>[108]Sheet2!$D$9</f>
        <v>3.1162009675748221</v>
      </c>
      <c r="L115" s="9">
        <f>[108]Sheet2!$D$7</f>
        <v>43923</v>
      </c>
      <c r="N115" s="8">
        <f t="shared" si="50"/>
        <v>78.974999999999994</v>
      </c>
      <c r="O115" s="8">
        <f t="shared" si="51"/>
        <v>59.893999999999998</v>
      </c>
      <c r="P115" s="8">
        <f t="shared" si="52"/>
        <v>9999</v>
      </c>
      <c r="Q115" s="8">
        <f t="shared" si="53"/>
        <v>9999</v>
      </c>
      <c r="R115" s="8">
        <f t="shared" si="54"/>
        <v>9999</v>
      </c>
      <c r="S115" s="8">
        <f t="shared" si="55"/>
        <v>9999</v>
      </c>
      <c r="T115" s="8">
        <f t="shared" si="56"/>
        <v>9999</v>
      </c>
      <c r="U115" s="8">
        <f t="shared" si="57"/>
        <v>9999</v>
      </c>
      <c r="V115" s="8">
        <f t="shared" si="58"/>
        <v>9999</v>
      </c>
      <c r="W115" s="8">
        <f t="shared" si="59"/>
        <v>9999</v>
      </c>
    </row>
    <row r="116" spans="1:23" x14ac:dyDescent="0.2">
      <c r="A116" s="7">
        <v>320</v>
      </c>
      <c r="B116" s="7"/>
      <c r="C116" s="8">
        <f>[109]Sheet2!$J$5</f>
        <v>61.064</v>
      </c>
      <c r="D116" s="8">
        <f>[109]Sheet2!$J$4</f>
        <v>75.734999999999999</v>
      </c>
      <c r="E116" s="7">
        <f>[109]Sheet2!$D$8</f>
        <v>1663.1651582311529</v>
      </c>
      <c r="F116" s="7" t="str">
        <f>[109]Sheet2!$G$4</f>
        <v>Ob</v>
      </c>
      <c r="G116" s="7" t="str">
        <f>[109]Sheet2!$G$5</f>
        <v>Russia</v>
      </c>
      <c r="H116" s="7" t="str">
        <f>[109]Sheet2!$H$8</f>
        <v>1</v>
      </c>
      <c r="I116" s="7">
        <f t="shared" si="49"/>
        <v>1</v>
      </c>
      <c r="J116" s="15" t="e">
        <f>[109]Sheet2!$H$9</f>
        <v>#N/A</v>
      </c>
      <c r="K116" s="19">
        <f>[109]Sheet2!$D$9</f>
        <v>2.1296628540134526</v>
      </c>
      <c r="L116" s="9">
        <f>[109]Sheet2!$D$7</f>
        <v>43923</v>
      </c>
      <c r="N116" s="8">
        <f t="shared" si="50"/>
        <v>75.734999999999999</v>
      </c>
      <c r="O116" s="8">
        <f t="shared" si="51"/>
        <v>61.064</v>
      </c>
      <c r="P116" s="8">
        <f t="shared" si="52"/>
        <v>9999</v>
      </c>
      <c r="Q116" s="8">
        <f t="shared" si="53"/>
        <v>9999</v>
      </c>
      <c r="R116" s="8">
        <f t="shared" si="54"/>
        <v>9999</v>
      </c>
      <c r="S116" s="8">
        <f t="shared" si="55"/>
        <v>9999</v>
      </c>
      <c r="T116" s="8">
        <f t="shared" si="56"/>
        <v>9999</v>
      </c>
      <c r="U116" s="8">
        <f t="shared" si="57"/>
        <v>9999</v>
      </c>
      <c r="V116" s="8">
        <f t="shared" si="58"/>
        <v>9999</v>
      </c>
      <c r="W116" s="8">
        <f t="shared" si="59"/>
        <v>9999</v>
      </c>
    </row>
    <row r="117" spans="1:23" x14ac:dyDescent="0.2">
      <c r="A117" s="7">
        <v>350</v>
      </c>
      <c r="B117" s="7"/>
      <c r="C117" s="8">
        <f>[110]Sheet2!$J$5</f>
        <v>47.834000000000003</v>
      </c>
      <c r="D117" s="8">
        <f>[110]Sheet2!$J$4</f>
        <v>46.394999999999996</v>
      </c>
      <c r="E117" s="7">
        <f>[110]Sheet2!$D$8</f>
        <v>4661.0512990425141</v>
      </c>
      <c r="F117" s="7" t="str">
        <f>[110]Sheet2!$G$4</f>
        <v>Volga</v>
      </c>
      <c r="G117" s="7" t="str">
        <f>[110]Sheet2!$G$5</f>
        <v>Russia</v>
      </c>
      <c r="H117" s="7" t="str">
        <f>[110]Sheet2!$H$8</f>
        <v>2</v>
      </c>
      <c r="I117" s="7">
        <f t="shared" ref="I117:I119" si="60">VALUE(H117)</f>
        <v>2</v>
      </c>
      <c r="J117" s="15" t="e">
        <f>[110]Sheet2!$H$9</f>
        <v>#N/A</v>
      </c>
      <c r="K117" s="19">
        <f>[110]Sheet2!$D$9</f>
        <v>40.21436377249546</v>
      </c>
      <c r="L117" s="9">
        <f>[110]Sheet2!$D$7</f>
        <v>43923</v>
      </c>
      <c r="N117" s="8">
        <f t="shared" ref="N117:N119" si="61">IF($I117=1,$D117,9999)</f>
        <v>9999</v>
      </c>
      <c r="O117" s="8">
        <f t="shared" ref="O117:O119" si="62">IF($I117=1,$C117,9999)</f>
        <v>9999</v>
      </c>
      <c r="P117" s="8">
        <f t="shared" ref="P117:P119" si="63">IF($I117=2,$D117,9999)</f>
        <v>46.394999999999996</v>
      </c>
      <c r="Q117" s="8">
        <f t="shared" ref="Q117:Q119" si="64">IF($I117=2,$C117,9999)</f>
        <v>47.834000000000003</v>
      </c>
      <c r="R117" s="8">
        <f t="shared" ref="R117:R119" si="65">IF($I117=3,$D117,9999)</f>
        <v>9999</v>
      </c>
      <c r="S117" s="8">
        <f t="shared" ref="S117:S119" si="66">IF($I117=3,$C117,9999)</f>
        <v>9999</v>
      </c>
      <c r="T117" s="8">
        <f t="shared" ref="T117:T119" si="67">IF($I117=4,$D117,9999)</f>
        <v>9999</v>
      </c>
      <c r="U117" s="8">
        <f t="shared" ref="U117:U119" si="68">IF($I117=4,$C117,9999)</f>
        <v>9999</v>
      </c>
      <c r="V117" s="8">
        <f t="shared" ref="V117:V119" si="69">IF($I117=0,$D117,9999)</f>
        <v>9999</v>
      </c>
      <c r="W117" s="8">
        <f t="shared" ref="W117:W119" si="70">IF($I117=0,$C117,9999)</f>
        <v>9999</v>
      </c>
    </row>
    <row r="118" spans="1:23" x14ac:dyDescent="0.2">
      <c r="A118" s="7">
        <v>351</v>
      </c>
      <c r="B118" s="7"/>
      <c r="C118" s="8">
        <f>[111]Sheet2!$J$5</f>
        <v>46.484000000000002</v>
      </c>
      <c r="D118" s="8">
        <f>[111]Sheet2!$J$4</f>
        <v>48.284999999999997</v>
      </c>
      <c r="E118" s="7">
        <f>[111]Sheet2!$D$8</f>
        <v>839.7895893280936</v>
      </c>
      <c r="F118" s="7" t="str">
        <f>[111]Sheet2!$G$4</f>
        <v>Volga</v>
      </c>
      <c r="G118" s="7" t="str">
        <f>[111]Sheet2!$G$5</f>
        <v>Russia</v>
      </c>
      <c r="H118" s="7" t="str">
        <f>[111]Sheet2!$H$8</f>
        <v>2</v>
      </c>
      <c r="I118" s="7">
        <f t="shared" si="60"/>
        <v>2</v>
      </c>
      <c r="J118" s="15" t="e">
        <f>[111]Sheet2!$H$9</f>
        <v>#N/A</v>
      </c>
      <c r="K118" s="19">
        <f>[111]Sheet2!$D$9</f>
        <v>4.6492451315254835</v>
      </c>
      <c r="L118" s="9">
        <f>[111]Sheet2!$D$7</f>
        <v>43923</v>
      </c>
      <c r="N118" s="8">
        <f t="shared" si="61"/>
        <v>9999</v>
      </c>
      <c r="O118" s="8">
        <f t="shared" si="62"/>
        <v>9999</v>
      </c>
      <c r="P118" s="8">
        <f t="shared" si="63"/>
        <v>48.284999999999997</v>
      </c>
      <c r="Q118" s="8">
        <f t="shared" si="64"/>
        <v>46.484000000000002</v>
      </c>
      <c r="R118" s="8">
        <f t="shared" si="65"/>
        <v>9999</v>
      </c>
      <c r="S118" s="8">
        <f t="shared" si="66"/>
        <v>9999</v>
      </c>
      <c r="T118" s="8">
        <f t="shared" si="67"/>
        <v>9999</v>
      </c>
      <c r="U118" s="8">
        <f t="shared" si="68"/>
        <v>9999</v>
      </c>
      <c r="V118" s="8">
        <f t="shared" si="69"/>
        <v>9999</v>
      </c>
      <c r="W118" s="8">
        <f t="shared" si="70"/>
        <v>9999</v>
      </c>
    </row>
    <row r="119" spans="1:23" x14ac:dyDescent="0.2">
      <c r="A119" s="7">
        <v>358</v>
      </c>
      <c r="B119" s="7"/>
      <c r="C119" s="8">
        <f>[112]Sheet2!$J$5</f>
        <v>49.094000000000001</v>
      </c>
      <c r="D119" s="8">
        <f>[112]Sheet2!$J$4</f>
        <v>43.965000000000003</v>
      </c>
      <c r="E119" s="7">
        <f>[112]Sheet2!$D$8</f>
        <v>130.22747440175982</v>
      </c>
      <c r="F119" s="7" t="str">
        <f>[112]Sheet2!$G$4</f>
        <v>Don</v>
      </c>
      <c r="G119" s="7" t="str">
        <f>[112]Sheet2!$G$5</f>
        <v>Russia</v>
      </c>
      <c r="H119" s="7" t="str">
        <f>[112]Sheet2!$H$8</f>
        <v>1</v>
      </c>
      <c r="I119" s="7">
        <f t="shared" si="60"/>
        <v>1</v>
      </c>
      <c r="J119" s="15" t="e">
        <f>[112]Sheet2!$H$9</f>
        <v>#N/A</v>
      </c>
      <c r="K119" s="19">
        <f>[112]Sheet2!$D$9</f>
        <v>0.35381876087876141</v>
      </c>
      <c r="L119" s="9">
        <f>[112]Sheet2!$D$7</f>
        <v>43923</v>
      </c>
      <c r="N119" s="8">
        <f t="shared" si="61"/>
        <v>43.965000000000003</v>
      </c>
      <c r="O119" s="8">
        <f t="shared" si="62"/>
        <v>49.094000000000001</v>
      </c>
      <c r="P119" s="8">
        <f t="shared" si="63"/>
        <v>9999</v>
      </c>
      <c r="Q119" s="8">
        <f t="shared" si="64"/>
        <v>9999</v>
      </c>
      <c r="R119" s="8">
        <f t="shared" si="65"/>
        <v>9999</v>
      </c>
      <c r="S119" s="8">
        <f t="shared" si="66"/>
        <v>9999</v>
      </c>
      <c r="T119" s="8">
        <f t="shared" si="67"/>
        <v>9999</v>
      </c>
      <c r="U119" s="8">
        <f t="shared" si="68"/>
        <v>9999</v>
      </c>
      <c r="V119" s="8">
        <f t="shared" si="69"/>
        <v>9999</v>
      </c>
      <c r="W119" s="8">
        <f t="shared" si="70"/>
        <v>9999</v>
      </c>
    </row>
    <row r="120" spans="1:23" x14ac:dyDescent="0.2">
      <c r="A120" s="7">
        <v>421</v>
      </c>
      <c r="B120" s="7"/>
      <c r="C120" s="8">
        <f>[113]Sheet2!$J$5</f>
        <v>66.103999999999999</v>
      </c>
      <c r="D120" s="8">
        <f>[113]Sheet2!$J$4</f>
        <v>87.435000000000002</v>
      </c>
      <c r="E120" s="7">
        <f>[113]Sheet2!$D$8</f>
        <v>5381.8585346080845</v>
      </c>
      <c r="F120" s="7" t="str">
        <f>[113]Sheet2!$G$4</f>
        <v>Jenisei</v>
      </c>
      <c r="G120" s="7" t="str">
        <f>[113]Sheet2!$G$5</f>
        <v>Russia</v>
      </c>
      <c r="H120" s="7" t="str">
        <f>[113]Sheet2!$H$8</f>
        <v>2</v>
      </c>
      <c r="I120" s="7">
        <f t="shared" ref="I120:I128" si="71">VALUE(H120)</f>
        <v>2</v>
      </c>
      <c r="J120" s="15" t="e">
        <f>[113]Sheet2!$H$9</f>
        <v>#N/A</v>
      </c>
      <c r="K120" s="19">
        <f>[113]Sheet2!$D$9</f>
        <v>1.5238939759900434</v>
      </c>
      <c r="L120" s="9">
        <f>[113]Sheet2!$D$7</f>
        <v>43923</v>
      </c>
      <c r="N120" s="8">
        <f t="shared" ref="N120:N127" si="72">IF($I120=1,$D120,9999)</f>
        <v>9999</v>
      </c>
      <c r="O120" s="8">
        <f t="shared" ref="O120:O127" si="73">IF($I120=1,$C120,9999)</f>
        <v>9999</v>
      </c>
      <c r="P120" s="8">
        <f t="shared" ref="P120:P127" si="74">IF($I120=2,$D120,9999)</f>
        <v>87.435000000000002</v>
      </c>
      <c r="Q120" s="8">
        <f t="shared" ref="Q120:Q127" si="75">IF($I120=2,$C120,9999)</f>
        <v>66.103999999999999</v>
      </c>
      <c r="R120" s="8">
        <f t="shared" ref="R120:R127" si="76">IF($I120=3,$D120,9999)</f>
        <v>9999</v>
      </c>
      <c r="S120" s="8">
        <f t="shared" ref="S120:S127" si="77">IF($I120=3,$C120,9999)</f>
        <v>9999</v>
      </c>
      <c r="T120" s="8">
        <f t="shared" ref="T120:T127" si="78">IF($I120=4,$D120,9999)</f>
        <v>9999</v>
      </c>
      <c r="U120" s="8">
        <f t="shared" ref="U120:U127" si="79">IF($I120=4,$C120,9999)</f>
        <v>9999</v>
      </c>
      <c r="V120" s="8">
        <f>IF($I120=0,$D120,9999)</f>
        <v>9999</v>
      </c>
      <c r="W120" s="8">
        <f>IF($I120=0,$C120,9999)</f>
        <v>9999</v>
      </c>
    </row>
    <row r="121" spans="1:23" x14ac:dyDescent="0.2">
      <c r="A121" s="7">
        <v>435</v>
      </c>
      <c r="B121" s="7"/>
      <c r="C121" s="8">
        <f>[114]Sheet2!$J$5</f>
        <v>65.384</v>
      </c>
      <c r="D121" s="8">
        <f>[114]Sheet2!$J$4</f>
        <v>77.984999999999999</v>
      </c>
      <c r="E121" s="7">
        <f>[114]Sheet2!$D$8</f>
        <v>0</v>
      </c>
      <c r="F121" s="7" t="str">
        <f>[114]Sheet2!$G$4</f>
        <v>Pur</v>
      </c>
      <c r="G121" s="7" t="str">
        <f>[114]Sheet2!$G$5</f>
        <v>Russia</v>
      </c>
      <c r="H121" s="7" t="str">
        <f>[114]Sheet2!$H$8</f>
        <v>2</v>
      </c>
      <c r="I121" s="7">
        <f t="shared" si="71"/>
        <v>2</v>
      </c>
      <c r="J121" s="15" t="e">
        <f>[114]Sheet2!$H$9</f>
        <v>#N/A</v>
      </c>
      <c r="K121" s="19">
        <f>[114]Sheet2!$D$9</f>
        <v>0</v>
      </c>
      <c r="L121" s="9">
        <f>[114]Sheet2!$D$7</f>
        <v>43923</v>
      </c>
      <c r="N121" s="8">
        <f t="shared" si="72"/>
        <v>9999</v>
      </c>
      <c r="O121" s="8">
        <f t="shared" si="73"/>
        <v>9999</v>
      </c>
      <c r="P121" s="8">
        <f t="shared" si="74"/>
        <v>77.984999999999999</v>
      </c>
      <c r="Q121" s="8">
        <f t="shared" si="75"/>
        <v>65.384</v>
      </c>
      <c r="R121" s="8">
        <f t="shared" si="76"/>
        <v>9999</v>
      </c>
      <c r="S121" s="8">
        <f t="shared" si="77"/>
        <v>9999</v>
      </c>
      <c r="T121" s="8">
        <f t="shared" si="78"/>
        <v>9999</v>
      </c>
      <c r="U121" s="8">
        <f t="shared" si="79"/>
        <v>9999</v>
      </c>
      <c r="V121" s="8">
        <f t="shared" ref="V121:V128" si="80">IF($I121=0,$D121,9999)</f>
        <v>9999</v>
      </c>
      <c r="W121" s="8">
        <f t="shared" ref="W121:W128" si="81">IF($I121=0,$C121,9999)</f>
        <v>9999</v>
      </c>
    </row>
    <row r="122" spans="1:23" x14ac:dyDescent="0.2">
      <c r="A122" s="7">
        <v>440</v>
      </c>
      <c r="B122" s="7"/>
      <c r="C122" s="8">
        <f>[115]Sheet2!$J$5</f>
        <v>32.623999999999995</v>
      </c>
      <c r="D122" s="8">
        <f>[115]Sheet2!$J$4</f>
        <v>-90.313999999999993</v>
      </c>
      <c r="E122" s="7"/>
      <c r="F122" s="7" t="str">
        <f>[115]Sheet2!$G$4</f>
        <v>Big Black</v>
      </c>
      <c r="G122" s="7" t="str">
        <f>[115]Sheet2!$G$5</f>
        <v>USA</v>
      </c>
      <c r="H122" s="7" t="str">
        <f>[115]Sheet2!$H$8</f>
        <v>2</v>
      </c>
      <c r="I122" s="7">
        <f t="shared" si="71"/>
        <v>2</v>
      </c>
      <c r="J122" s="15" t="e">
        <f>[115]Sheet2!$H$9</f>
        <v>#N/A</v>
      </c>
      <c r="K122" s="19">
        <f>[115]Sheet2!$D$9</f>
        <v>32.240204126302409</v>
      </c>
      <c r="L122" s="9">
        <f>[115]Sheet2!$D$7</f>
        <v>43923</v>
      </c>
      <c r="N122" s="8">
        <f t="shared" si="72"/>
        <v>9999</v>
      </c>
      <c r="O122" s="8">
        <f t="shared" si="73"/>
        <v>9999</v>
      </c>
      <c r="P122" s="8">
        <f t="shared" si="74"/>
        <v>-90.313999999999993</v>
      </c>
      <c r="Q122" s="8">
        <f t="shared" si="75"/>
        <v>32.623999999999995</v>
      </c>
      <c r="R122" s="8">
        <f t="shared" si="76"/>
        <v>9999</v>
      </c>
      <c r="S122" s="8">
        <f t="shared" si="77"/>
        <v>9999</v>
      </c>
      <c r="T122" s="8">
        <f t="shared" si="78"/>
        <v>9999</v>
      </c>
      <c r="U122" s="8">
        <f t="shared" si="79"/>
        <v>9999</v>
      </c>
      <c r="V122" s="8">
        <f t="shared" si="80"/>
        <v>9999</v>
      </c>
      <c r="W122" s="8">
        <f t="shared" si="81"/>
        <v>9999</v>
      </c>
    </row>
    <row r="123" spans="1:23" x14ac:dyDescent="0.2">
      <c r="A123" s="7">
        <v>442</v>
      </c>
      <c r="B123" s="7"/>
      <c r="C123" s="8">
        <f>[116]Sheet2!$J$5</f>
        <v>31.904</v>
      </c>
      <c r="D123" s="8">
        <f>[116]Sheet2!$J$4</f>
        <v>-91.843999999999994</v>
      </c>
      <c r="E123" s="7">
        <f>[116]Sheet2!$D$8</f>
        <v>1699.4210229364278</v>
      </c>
      <c r="F123" s="7" t="str">
        <f>[116]Sheet2!$G$4</f>
        <v>Ouachita</v>
      </c>
      <c r="G123" s="7" t="str">
        <f>[116]Sheet2!$G$5</f>
        <v>USA</v>
      </c>
      <c r="H123" s="7" t="str">
        <f>[116]Sheet2!$H$8</f>
        <v>2</v>
      </c>
      <c r="I123" s="7">
        <f t="shared" si="71"/>
        <v>2</v>
      </c>
      <c r="J123" s="15" t="e">
        <f>[116]Sheet2!$H$9</f>
        <v>#N/A</v>
      </c>
      <c r="K123" s="19">
        <f>[116]Sheet2!$D$9</f>
        <v>20.290041311830031</v>
      </c>
      <c r="L123" s="9">
        <f>[116]Sheet2!$D$7</f>
        <v>43923</v>
      </c>
      <c r="N123" s="8">
        <f t="shared" si="72"/>
        <v>9999</v>
      </c>
      <c r="O123" s="8">
        <f t="shared" si="73"/>
        <v>9999</v>
      </c>
      <c r="P123" s="8">
        <f t="shared" si="74"/>
        <v>-91.843999999999994</v>
      </c>
      <c r="Q123" s="8">
        <f t="shared" si="75"/>
        <v>31.904</v>
      </c>
      <c r="R123" s="8">
        <f t="shared" si="76"/>
        <v>9999</v>
      </c>
      <c r="S123" s="8">
        <f t="shared" si="77"/>
        <v>9999</v>
      </c>
      <c r="T123" s="8">
        <f t="shared" si="78"/>
        <v>9999</v>
      </c>
      <c r="U123" s="8">
        <f t="shared" si="79"/>
        <v>9999</v>
      </c>
      <c r="V123" s="8">
        <f t="shared" si="80"/>
        <v>9999</v>
      </c>
      <c r="W123" s="8">
        <f t="shared" si="81"/>
        <v>9999</v>
      </c>
    </row>
    <row r="124" spans="1:23" x14ac:dyDescent="0.2">
      <c r="A124" s="7">
        <v>443</v>
      </c>
      <c r="B124" s="7"/>
      <c r="C124" s="8">
        <f>[117]Sheet2!$J$5</f>
        <v>32.353999999999999</v>
      </c>
      <c r="D124" s="8">
        <f>[117]Sheet2!$J$4</f>
        <v>-93.554000000000002</v>
      </c>
      <c r="E124" s="7">
        <f>[117]Sheet2!$D$8</f>
        <v>1319.8663454952793</v>
      </c>
      <c r="F124" s="7" t="str">
        <f>[117]Sheet2!$G$4</f>
        <v>Red River</v>
      </c>
      <c r="G124" s="7" t="str">
        <f>[117]Sheet2!$G$5</f>
        <v>USA</v>
      </c>
      <c r="H124" s="7" t="str">
        <f>[117]Sheet2!$H$8</f>
        <v>2</v>
      </c>
      <c r="I124" s="7">
        <f t="shared" si="71"/>
        <v>2</v>
      </c>
      <c r="J124" s="15" t="e">
        <f>[117]Sheet2!$H$9</f>
        <v>#N/A</v>
      </c>
      <c r="K124" s="19">
        <f>[117]Sheet2!$D$9</f>
        <v>4.4110171074606175</v>
      </c>
      <c r="L124" s="9">
        <f>[117]Sheet2!$D$7</f>
        <v>43923</v>
      </c>
      <c r="N124" s="8">
        <f t="shared" si="72"/>
        <v>9999</v>
      </c>
      <c r="O124" s="8">
        <f t="shared" si="73"/>
        <v>9999</v>
      </c>
      <c r="P124" s="8">
        <f t="shared" si="74"/>
        <v>-93.554000000000002</v>
      </c>
      <c r="Q124" s="8">
        <f t="shared" si="75"/>
        <v>32.353999999999999</v>
      </c>
      <c r="R124" s="8">
        <f t="shared" si="76"/>
        <v>9999</v>
      </c>
      <c r="S124" s="8">
        <f t="shared" si="77"/>
        <v>9999</v>
      </c>
      <c r="T124" s="8">
        <f t="shared" si="78"/>
        <v>9999</v>
      </c>
      <c r="U124" s="8">
        <f t="shared" si="79"/>
        <v>9999</v>
      </c>
      <c r="V124" s="8">
        <f t="shared" si="80"/>
        <v>9999</v>
      </c>
      <c r="W124" s="8">
        <f t="shared" si="81"/>
        <v>9999</v>
      </c>
    </row>
    <row r="125" spans="1:23" x14ac:dyDescent="0.2">
      <c r="A125" s="7">
        <v>445</v>
      </c>
      <c r="B125" s="7"/>
      <c r="C125" s="8">
        <f>[118]Sheet2!$J$5</f>
        <v>30.914000000000001</v>
      </c>
      <c r="D125" s="8">
        <f>[118]Sheet2!$J$4</f>
        <v>-95.623999999999995</v>
      </c>
      <c r="E125" s="7">
        <f>[118]Sheet2!$D$8</f>
        <v>264.27172263958096</v>
      </c>
      <c r="F125" s="7" t="str">
        <f>[118]Sheet2!$G$4</f>
        <v>Trinity</v>
      </c>
      <c r="G125" s="7" t="str">
        <f>[118]Sheet2!$G$5</f>
        <v>USA</v>
      </c>
      <c r="H125" s="7" t="str">
        <f>[118]Sheet2!$H$8</f>
        <v>2</v>
      </c>
      <c r="I125" s="7">
        <f t="shared" si="71"/>
        <v>2</v>
      </c>
      <c r="J125" s="15" t="e">
        <f>[118]Sheet2!$H$9</f>
        <v>#N/A</v>
      </c>
      <c r="K125" s="19">
        <f>[118]Sheet2!$D$9</f>
        <v>2.8707924605426163</v>
      </c>
      <c r="L125" s="9">
        <f>[118]Sheet2!$D$7</f>
        <v>43923</v>
      </c>
      <c r="N125" s="8">
        <f t="shared" si="72"/>
        <v>9999</v>
      </c>
      <c r="O125" s="8">
        <f t="shared" si="73"/>
        <v>9999</v>
      </c>
      <c r="P125" s="8">
        <f t="shared" si="74"/>
        <v>-95.623999999999995</v>
      </c>
      <c r="Q125" s="8">
        <f t="shared" si="75"/>
        <v>30.914000000000001</v>
      </c>
      <c r="R125" s="8">
        <f t="shared" si="76"/>
        <v>9999</v>
      </c>
      <c r="S125" s="8">
        <f t="shared" si="77"/>
        <v>9999</v>
      </c>
      <c r="T125" s="8">
        <f t="shared" si="78"/>
        <v>9999</v>
      </c>
      <c r="U125" s="8">
        <f t="shared" si="79"/>
        <v>9999</v>
      </c>
      <c r="V125" s="8">
        <f t="shared" si="80"/>
        <v>9999</v>
      </c>
      <c r="W125" s="8">
        <f t="shared" si="81"/>
        <v>9999</v>
      </c>
    </row>
    <row r="126" spans="1:23" x14ac:dyDescent="0.2">
      <c r="A126" s="7">
        <v>446</v>
      </c>
      <c r="B126" s="7"/>
      <c r="C126" s="8">
        <f>[119]Sheet2!$J$5</f>
        <v>31.723999999999997</v>
      </c>
      <c r="D126" s="8">
        <f>[119]Sheet2!$J$4</f>
        <v>-95.894000000000005</v>
      </c>
      <c r="E126" s="7">
        <f>[119]Sheet2!$D$8</f>
        <v>912.91309540226553</v>
      </c>
      <c r="F126" s="7" t="str">
        <f>[119]Sheet2!$G$4</f>
        <v>Trinity</v>
      </c>
      <c r="G126" s="7" t="str">
        <f>[119]Sheet2!$G$5</f>
        <v>USA</v>
      </c>
      <c r="H126" s="7" t="str">
        <f>[119]Sheet2!$H$8</f>
        <v>2</v>
      </c>
      <c r="I126" s="7">
        <f t="shared" si="71"/>
        <v>2</v>
      </c>
      <c r="J126" s="15">
        <f>[119]Sheet2!$H$9</f>
        <v>5.5823606462756281</v>
      </c>
      <c r="K126" s="19">
        <f>[119]Sheet2!$D$9</f>
        <v>14.928954298777317</v>
      </c>
      <c r="L126" s="9">
        <f>[119]Sheet2!$D$7</f>
        <v>43923</v>
      </c>
      <c r="N126" s="8">
        <f t="shared" si="72"/>
        <v>9999</v>
      </c>
      <c r="O126" s="8">
        <f t="shared" si="73"/>
        <v>9999</v>
      </c>
      <c r="P126" s="8">
        <f t="shared" si="74"/>
        <v>-95.894000000000005</v>
      </c>
      <c r="Q126" s="8">
        <f t="shared" si="75"/>
        <v>31.723999999999997</v>
      </c>
      <c r="R126" s="8">
        <f t="shared" si="76"/>
        <v>9999</v>
      </c>
      <c r="S126" s="8">
        <f t="shared" si="77"/>
        <v>9999</v>
      </c>
      <c r="T126" s="8">
        <f t="shared" si="78"/>
        <v>9999</v>
      </c>
      <c r="U126" s="8">
        <f t="shared" si="79"/>
        <v>9999</v>
      </c>
      <c r="V126" s="8">
        <f t="shared" si="80"/>
        <v>9999</v>
      </c>
      <c r="W126" s="8">
        <f t="shared" si="81"/>
        <v>9999</v>
      </c>
    </row>
    <row r="127" spans="1:23" x14ac:dyDescent="0.2">
      <c r="A127" s="7">
        <v>447</v>
      </c>
      <c r="B127" s="7"/>
      <c r="C127" s="8">
        <f>[120]Sheet2!$J$5</f>
        <v>32.533999999999999</v>
      </c>
      <c r="D127" s="8">
        <f>[120]Sheet2!$J$4</f>
        <v>-96.524000000000001</v>
      </c>
      <c r="E127" s="7">
        <f>[120]Sheet2!$D$8</f>
        <v>177.07049918524234</v>
      </c>
      <c r="F127" s="7" t="str">
        <f>[120]Sheet2!$G$4</f>
        <v>Trinity</v>
      </c>
      <c r="G127" s="7" t="str">
        <f>[120]Sheet2!$G$5</f>
        <v>USA</v>
      </c>
      <c r="H127" s="7" t="str">
        <f>[120]Sheet2!$H$8</f>
        <v>2</v>
      </c>
      <c r="I127" s="7">
        <f t="shared" si="71"/>
        <v>2</v>
      </c>
      <c r="J127" s="15" t="e">
        <f>[120]Sheet2!$H$9</f>
        <v>#N/A</v>
      </c>
      <c r="K127" s="19">
        <f>[120]Sheet2!$D$9</f>
        <v>11.979541870641688</v>
      </c>
      <c r="L127" s="9">
        <f>[120]Sheet2!$D$7</f>
        <v>43923</v>
      </c>
      <c r="N127" s="8">
        <f t="shared" si="72"/>
        <v>9999</v>
      </c>
      <c r="O127" s="8">
        <f t="shared" si="73"/>
        <v>9999</v>
      </c>
      <c r="P127" s="8">
        <f t="shared" si="74"/>
        <v>-96.524000000000001</v>
      </c>
      <c r="Q127" s="8">
        <f t="shared" si="75"/>
        <v>32.533999999999999</v>
      </c>
      <c r="R127" s="8">
        <f t="shared" si="76"/>
        <v>9999</v>
      </c>
      <c r="S127" s="8">
        <f t="shared" si="77"/>
        <v>9999</v>
      </c>
      <c r="T127" s="8">
        <f t="shared" si="78"/>
        <v>9999</v>
      </c>
      <c r="U127" s="8">
        <f t="shared" si="79"/>
        <v>9999</v>
      </c>
      <c r="V127" s="8">
        <f t="shared" si="80"/>
        <v>9999</v>
      </c>
      <c r="W127" s="8">
        <f t="shared" si="81"/>
        <v>9999</v>
      </c>
    </row>
    <row r="128" spans="1:23" x14ac:dyDescent="0.2">
      <c r="A128" s="7">
        <v>467</v>
      </c>
      <c r="B128" s="7"/>
      <c r="C128" s="8">
        <f>[121]Sheet2!$J$5</f>
        <v>31.363999999999997</v>
      </c>
      <c r="D128" s="8">
        <f>[121]Sheet2!$J$4</f>
        <v>-87.704000000000008</v>
      </c>
      <c r="E128" s="7">
        <f>[121]Sheet2!$D$8</f>
        <v>2043.8240900717606</v>
      </c>
      <c r="F128" s="7" t="str">
        <f>[121]Sheet2!$G$4</f>
        <v>Alabama</v>
      </c>
      <c r="G128" s="7" t="str">
        <f>[121]Sheet2!$G$5</f>
        <v>USA</v>
      </c>
      <c r="H128" s="7" t="str">
        <f>[121]Sheet2!$H$8</f>
        <v>2</v>
      </c>
      <c r="I128" s="7">
        <f t="shared" si="71"/>
        <v>2</v>
      </c>
      <c r="J128" s="15" t="e">
        <f>[121]Sheet2!$H$9</f>
        <v>#N/A</v>
      </c>
      <c r="K128" s="19">
        <f>[121]Sheet2!$D$9</f>
        <v>22.288448382970913</v>
      </c>
      <c r="L128" s="9">
        <f>[121]Sheet2!$D$7</f>
        <v>43923</v>
      </c>
      <c r="M128"/>
      <c r="N128" s="8">
        <f t="shared" ref="N128:N137" si="82">IF($I128=1,$D128,9999)</f>
        <v>9999</v>
      </c>
      <c r="O128" s="8">
        <f t="shared" ref="O128:O137" si="83">IF($I128=1,$C128,9999)</f>
        <v>9999</v>
      </c>
      <c r="P128" s="8">
        <f t="shared" ref="P128:P137" si="84">IF($I128=2,$D128,9999)</f>
        <v>-87.704000000000008</v>
      </c>
      <c r="Q128" s="8">
        <f t="shared" ref="Q128:Q137" si="85">IF($I128=2,$C128,9999)</f>
        <v>31.363999999999997</v>
      </c>
      <c r="R128" s="8">
        <f t="shared" ref="R128:R137" si="86">IF($I128=3,$D128,9999)</f>
        <v>9999</v>
      </c>
      <c r="S128" s="8">
        <f t="shared" ref="S128:S137" si="87">IF($I128=3,$C128,9999)</f>
        <v>9999</v>
      </c>
      <c r="T128" s="8">
        <f t="shared" ref="T128:T137" si="88">IF($I128=4,$D128,9999)</f>
        <v>9999</v>
      </c>
      <c r="U128" s="8">
        <f t="shared" ref="U128:U137" si="89">IF($I128=4,$C128,9999)</f>
        <v>9999</v>
      </c>
      <c r="V128" s="8">
        <f t="shared" si="80"/>
        <v>9999</v>
      </c>
      <c r="W128" s="8">
        <f t="shared" si="81"/>
        <v>9999</v>
      </c>
    </row>
    <row r="129" spans="1:25" x14ac:dyDescent="0.2">
      <c r="A129" s="7">
        <v>490</v>
      </c>
      <c r="B129" s="7"/>
      <c r="C129" s="8">
        <f>[122]Sheet2!$J$5</f>
        <v>35.054000000000002</v>
      </c>
      <c r="D129" s="8">
        <f>[122]Sheet2!$J$4</f>
        <v>-92.653999999999996</v>
      </c>
      <c r="E129" s="7">
        <f>[122]Sheet2!$D$8</f>
        <v>13987.500323095661</v>
      </c>
      <c r="F129" s="7" t="str">
        <f>[122]Sheet2!$G$4</f>
        <v>Arkansas</v>
      </c>
      <c r="G129" s="7" t="str">
        <f>[122]Sheet2!$G$5</f>
        <v>USA</v>
      </c>
      <c r="H129" s="7" t="str">
        <f>[122]Sheet2!$H$8</f>
        <v>3</v>
      </c>
      <c r="I129" s="7">
        <f t="shared" ref="I129" si="90">VALUE(H129)</f>
        <v>3</v>
      </c>
      <c r="J129" s="15" t="e">
        <f>[122]Sheet2!$H$9</f>
        <v>#N/A</v>
      </c>
      <c r="K129" s="19" t="e">
        <f>[122]Sheet2!$D$9</f>
        <v>#N/A</v>
      </c>
      <c r="L129" s="9">
        <f>[122]Sheet2!$D$7</f>
        <v>43923</v>
      </c>
      <c r="N129" s="8">
        <f t="shared" si="82"/>
        <v>9999</v>
      </c>
      <c r="O129" s="8">
        <f t="shared" si="83"/>
        <v>9999</v>
      </c>
      <c r="P129" s="8">
        <f t="shared" si="84"/>
        <v>9999</v>
      </c>
      <c r="Q129" s="8">
        <f t="shared" si="85"/>
        <v>9999</v>
      </c>
      <c r="R129" s="8">
        <f t="shared" si="86"/>
        <v>-92.653999999999996</v>
      </c>
      <c r="S129" s="8">
        <f t="shared" si="87"/>
        <v>35.054000000000002</v>
      </c>
      <c r="T129" s="8">
        <f t="shared" si="88"/>
        <v>9999</v>
      </c>
      <c r="U129" s="8">
        <f t="shared" si="89"/>
        <v>9999</v>
      </c>
      <c r="V129" s="8">
        <f t="shared" ref="V129:V141" si="91">IF($I129=0,$D129,9999)</f>
        <v>9999</v>
      </c>
      <c r="W129" s="8">
        <f t="shared" ref="W129:W141" si="92">IF($I129=0,$C129,9999)</f>
        <v>9999</v>
      </c>
    </row>
    <row r="130" spans="1:25" x14ac:dyDescent="0.2">
      <c r="A130" s="7">
        <v>491</v>
      </c>
      <c r="B130" s="7"/>
      <c r="C130" s="8">
        <f>[123]Sheet2!$J$5</f>
        <v>35.414000000000001</v>
      </c>
      <c r="D130" s="8">
        <f>[123]Sheet2!$J$4</f>
        <v>-94.183999999999997</v>
      </c>
      <c r="E130" s="7">
        <f>[123]Sheet2!$D$8</f>
        <v>10791.966381415787</v>
      </c>
      <c r="F130" s="7" t="str">
        <f>[123]Sheet2!$G$4</f>
        <v>Arkansas</v>
      </c>
      <c r="G130" s="7" t="str">
        <f>[123]Sheet2!$G$5</f>
        <v>USA</v>
      </c>
      <c r="H130" s="7" t="str">
        <f>[123]Sheet2!$H$8</f>
        <v>3</v>
      </c>
      <c r="I130" s="7">
        <f t="shared" ref="I130" si="93">VALUE(H130)</f>
        <v>3</v>
      </c>
      <c r="J130" s="15" t="e">
        <f>[123]Sheet2!$H$9</f>
        <v>#N/A</v>
      </c>
      <c r="K130" s="19">
        <f>[123]Sheet2!$D$9</f>
        <v>140.93631233075502</v>
      </c>
      <c r="L130" s="9">
        <f>[123]Sheet2!$D$7</f>
        <v>43923</v>
      </c>
      <c r="N130" s="8">
        <f t="shared" si="82"/>
        <v>9999</v>
      </c>
      <c r="O130" s="8">
        <f t="shared" si="83"/>
        <v>9999</v>
      </c>
      <c r="P130" s="8">
        <f t="shared" si="84"/>
        <v>9999</v>
      </c>
      <c r="Q130" s="8">
        <f t="shared" si="85"/>
        <v>9999</v>
      </c>
      <c r="R130" s="8">
        <f t="shared" si="86"/>
        <v>-94.183999999999997</v>
      </c>
      <c r="S130" s="8">
        <f t="shared" si="87"/>
        <v>35.414000000000001</v>
      </c>
      <c r="T130" s="8">
        <f t="shared" si="88"/>
        <v>9999</v>
      </c>
      <c r="U130" s="8">
        <f t="shared" si="89"/>
        <v>9999</v>
      </c>
      <c r="V130" s="8">
        <f t="shared" si="91"/>
        <v>9999</v>
      </c>
      <c r="W130" s="8">
        <f t="shared" si="92"/>
        <v>9999</v>
      </c>
    </row>
    <row r="131" spans="1:25" x14ac:dyDescent="0.2">
      <c r="A131" s="7">
        <v>497</v>
      </c>
      <c r="B131" s="7"/>
      <c r="C131" s="8">
        <f>[124]Sheet2!$J$5</f>
        <v>39.283999999999999</v>
      </c>
      <c r="D131" s="8">
        <f>[124]Sheet2!$J$4</f>
        <v>-93.463999999999999</v>
      </c>
      <c r="E131" s="7">
        <f>[124]Sheet2!$D$8</f>
        <v>4580.424131145649</v>
      </c>
      <c r="F131" s="7" t="str">
        <f>[124]Sheet2!$G$4</f>
        <v>Missouri</v>
      </c>
      <c r="G131" s="7" t="str">
        <f>[124]Sheet2!$G$5</f>
        <v>USA</v>
      </c>
      <c r="H131" s="7" t="str">
        <f>[124]Sheet2!$H$8</f>
        <v>2</v>
      </c>
      <c r="I131" s="7">
        <f t="shared" ref="I131" si="94">VALUE(H131)</f>
        <v>2</v>
      </c>
      <c r="J131" s="15" t="e">
        <f>[124]Sheet2!$H$9</f>
        <v>#N/A</v>
      </c>
      <c r="K131" s="19" t="e">
        <f>[124]Sheet2!$D$9</f>
        <v>#N/A</v>
      </c>
      <c r="L131" s="9">
        <f>[124]Sheet2!$D$7</f>
        <v>43923</v>
      </c>
      <c r="N131" s="8">
        <f t="shared" si="82"/>
        <v>9999</v>
      </c>
      <c r="O131" s="8">
        <f t="shared" si="83"/>
        <v>9999</v>
      </c>
      <c r="P131" s="8">
        <f t="shared" si="84"/>
        <v>-93.463999999999999</v>
      </c>
      <c r="Q131" s="8">
        <f t="shared" si="85"/>
        <v>39.283999999999999</v>
      </c>
      <c r="R131" s="8">
        <f t="shared" si="86"/>
        <v>9999</v>
      </c>
      <c r="S131" s="8">
        <f t="shared" si="87"/>
        <v>9999</v>
      </c>
      <c r="T131" s="8">
        <f t="shared" si="88"/>
        <v>9999</v>
      </c>
      <c r="U131" s="8">
        <f t="shared" si="89"/>
        <v>9999</v>
      </c>
      <c r="V131" s="8">
        <f t="shared" si="91"/>
        <v>9999</v>
      </c>
      <c r="W131" s="8">
        <f t="shared" si="92"/>
        <v>9999</v>
      </c>
    </row>
    <row r="132" spans="1:25" x14ac:dyDescent="0.2">
      <c r="A132" s="7">
        <v>498</v>
      </c>
      <c r="B132" s="7"/>
      <c r="C132" s="8">
        <f>[125]Sheet2!$J$5</f>
        <v>39.643999999999998</v>
      </c>
      <c r="D132" s="8">
        <f>[125]Sheet2!$J$4</f>
        <v>-93.283999999999992</v>
      </c>
      <c r="E132" s="7">
        <f>[125]Sheet2!$D$8</f>
        <v>2262.8096004048111</v>
      </c>
      <c r="F132" s="7" t="str">
        <f>[125]Sheet2!$G$4</f>
        <v>Grand</v>
      </c>
      <c r="G132" s="7" t="str">
        <f>[125]Sheet2!$G$5</f>
        <v>USA</v>
      </c>
      <c r="H132" s="7" t="str">
        <f>[125]Sheet2!$H$8</f>
        <v>2</v>
      </c>
      <c r="I132" s="7">
        <f t="shared" ref="I132" si="95">VALUE(H132)</f>
        <v>2</v>
      </c>
      <c r="J132" s="15" t="e">
        <f>[125]Sheet2!$H$9</f>
        <v>#N/A</v>
      </c>
      <c r="K132" s="19">
        <f>[125]Sheet2!$D$9</f>
        <v>3.9956856760456296</v>
      </c>
      <c r="L132" s="9">
        <f>[125]Sheet2!$D$7</f>
        <v>43923</v>
      </c>
      <c r="N132" s="8">
        <f t="shared" si="82"/>
        <v>9999</v>
      </c>
      <c r="O132" s="8">
        <f t="shared" si="83"/>
        <v>9999</v>
      </c>
      <c r="P132" s="8">
        <f t="shared" si="84"/>
        <v>-93.283999999999992</v>
      </c>
      <c r="Q132" s="8">
        <f t="shared" si="85"/>
        <v>39.643999999999998</v>
      </c>
      <c r="R132" s="8">
        <f t="shared" si="86"/>
        <v>9999</v>
      </c>
      <c r="S132" s="8">
        <f t="shared" si="87"/>
        <v>9999</v>
      </c>
      <c r="T132" s="8">
        <f t="shared" si="88"/>
        <v>9999</v>
      </c>
      <c r="U132" s="8">
        <f t="shared" si="89"/>
        <v>9999</v>
      </c>
      <c r="V132" s="8">
        <f t="shared" si="91"/>
        <v>9999</v>
      </c>
      <c r="W132" s="8">
        <f t="shared" si="92"/>
        <v>9999</v>
      </c>
    </row>
    <row r="133" spans="1:25" x14ac:dyDescent="0.2">
      <c r="A133" s="7">
        <v>501</v>
      </c>
      <c r="B133" s="7"/>
      <c r="C133" s="8">
        <f>[126]Sheet2!$J$5</f>
        <v>38.923999999999999</v>
      </c>
      <c r="D133" s="8">
        <f>[126]Sheet2!$J$4</f>
        <v>-90.674000000000007</v>
      </c>
      <c r="E133" s="7">
        <f>[126]Sheet2!$D$8</f>
        <v>5790.3642961814348</v>
      </c>
      <c r="F133" s="7" t="str">
        <f>[126]Sheet2!$G$4</f>
        <v>Mississippi</v>
      </c>
      <c r="G133" s="7" t="str">
        <f>[126]Sheet2!$G$5</f>
        <v>USA</v>
      </c>
      <c r="H133" s="7" t="str">
        <f>[126]Sheet2!$H$8</f>
        <v>3</v>
      </c>
      <c r="I133" s="7">
        <f t="shared" ref="I133" si="96">VALUE(H133)</f>
        <v>3</v>
      </c>
      <c r="J133" s="15" t="e">
        <f>[126]Sheet2!$H$9</f>
        <v>#N/A</v>
      </c>
      <c r="K133" s="19">
        <f>[126]Sheet2!$D$9</f>
        <v>9.3998989899603895</v>
      </c>
      <c r="L133" s="9">
        <f>[126]Sheet2!$D$7</f>
        <v>43923</v>
      </c>
      <c r="N133" s="8">
        <f t="shared" si="82"/>
        <v>9999</v>
      </c>
      <c r="O133" s="8">
        <f t="shared" si="83"/>
        <v>9999</v>
      </c>
      <c r="P133" s="8">
        <f t="shared" si="84"/>
        <v>9999</v>
      </c>
      <c r="Q133" s="8">
        <f t="shared" si="85"/>
        <v>9999</v>
      </c>
      <c r="R133" s="8">
        <f t="shared" si="86"/>
        <v>-90.674000000000007</v>
      </c>
      <c r="S133" s="8">
        <f t="shared" si="87"/>
        <v>38.923999999999999</v>
      </c>
      <c r="T133" s="8">
        <f t="shared" si="88"/>
        <v>9999</v>
      </c>
      <c r="U133" s="8">
        <f t="shared" si="89"/>
        <v>9999</v>
      </c>
      <c r="V133" s="8">
        <f t="shared" si="91"/>
        <v>9999</v>
      </c>
      <c r="W133" s="8">
        <f t="shared" si="92"/>
        <v>9999</v>
      </c>
    </row>
    <row r="134" spans="1:25" x14ac:dyDescent="0.2">
      <c r="A134" s="7">
        <v>502</v>
      </c>
      <c r="B134"/>
      <c r="C134" s="8">
        <f>[127]Sheet2!$J$5</f>
        <v>34.694000000000003</v>
      </c>
      <c r="D134" s="8">
        <f>[127]Sheet2!$J$4</f>
        <v>-90.584000000000003</v>
      </c>
      <c r="E134" s="7">
        <f>[127]Sheet2!$D$8</f>
        <v>24492.060131996579</v>
      </c>
      <c r="F134" s="7" t="str">
        <f>[127]Sheet2!$G$4</f>
        <v>Mississippi</v>
      </c>
      <c r="G134" s="7" t="str">
        <f>[127]Sheet2!$G$5</f>
        <v>USA</v>
      </c>
      <c r="H134" s="7" t="str">
        <f>[127]Sheet2!$H$8</f>
        <v>2</v>
      </c>
      <c r="I134" s="7">
        <f t="shared" ref="I134" si="97">VALUE(H134)</f>
        <v>2</v>
      </c>
      <c r="J134" s="15">
        <f>[127]Sheet2!$H$9</f>
        <v>0.86540455154107654</v>
      </c>
      <c r="K134" s="19">
        <f>[127]Sheet2!$D$9</f>
        <v>5.5271043489619469</v>
      </c>
      <c r="L134" s="9">
        <f>[127]Sheet2!$D$7</f>
        <v>43923</v>
      </c>
      <c r="N134" s="8">
        <f t="shared" si="82"/>
        <v>9999</v>
      </c>
      <c r="O134" s="8">
        <f t="shared" si="83"/>
        <v>9999</v>
      </c>
      <c r="P134" s="8">
        <f t="shared" si="84"/>
        <v>-90.584000000000003</v>
      </c>
      <c r="Q134" s="8">
        <f t="shared" si="85"/>
        <v>34.694000000000003</v>
      </c>
      <c r="R134" s="8">
        <f t="shared" si="86"/>
        <v>9999</v>
      </c>
      <c r="S134" s="8">
        <f t="shared" si="87"/>
        <v>9999</v>
      </c>
      <c r="T134" s="8">
        <f t="shared" si="88"/>
        <v>9999</v>
      </c>
      <c r="U134" s="8">
        <f t="shared" si="89"/>
        <v>9999</v>
      </c>
      <c r="V134" s="8">
        <f t="shared" si="91"/>
        <v>9999</v>
      </c>
      <c r="W134" s="8">
        <f t="shared" si="92"/>
        <v>9999</v>
      </c>
    </row>
    <row r="135" spans="1:25" x14ac:dyDescent="0.2">
      <c r="A135" s="7">
        <v>505</v>
      </c>
      <c r="B135" s="7"/>
      <c r="C135" s="8">
        <f>[128]Sheet2!$J$5</f>
        <v>36.314</v>
      </c>
      <c r="D135" s="8">
        <f>[128]Sheet2!$J$4</f>
        <v>-89.593999999999994</v>
      </c>
      <c r="E135" s="7">
        <f>[128]Sheet2!$D$8</f>
        <v>43959.295966896723</v>
      </c>
      <c r="F135" s="7" t="str">
        <f>[128]Sheet2!$G$4</f>
        <v>Mississippi</v>
      </c>
      <c r="G135" s="7" t="str">
        <f>[128]Sheet2!$G$5</f>
        <v>USA</v>
      </c>
      <c r="H135" s="7" t="str">
        <f>[128]Sheet2!$H$8</f>
        <v>3</v>
      </c>
      <c r="I135" s="7">
        <f t="shared" ref="I135" si="98">VALUE(H135)</f>
        <v>3</v>
      </c>
      <c r="J135" s="15" t="e">
        <f>[128]Sheet2!$H$9</f>
        <v>#N/A</v>
      </c>
      <c r="K135" s="19">
        <f>[128]Sheet2!$D$9</f>
        <v>11.141877304377054</v>
      </c>
      <c r="L135" s="9">
        <f>[128]Sheet2!$D$7</f>
        <v>43923</v>
      </c>
      <c r="N135" s="8">
        <f t="shared" si="82"/>
        <v>9999</v>
      </c>
      <c r="O135" s="8">
        <f t="shared" si="83"/>
        <v>9999</v>
      </c>
      <c r="P135" s="8">
        <f t="shared" si="84"/>
        <v>9999</v>
      </c>
      <c r="Q135" s="8">
        <f t="shared" si="85"/>
        <v>9999</v>
      </c>
      <c r="R135" s="8">
        <f t="shared" si="86"/>
        <v>-89.593999999999994</v>
      </c>
      <c r="S135" s="8">
        <f t="shared" si="87"/>
        <v>36.314</v>
      </c>
      <c r="T135" s="8">
        <f t="shared" si="88"/>
        <v>9999</v>
      </c>
      <c r="U135" s="8">
        <f t="shared" si="89"/>
        <v>9999</v>
      </c>
      <c r="V135" s="8">
        <f t="shared" si="91"/>
        <v>9999</v>
      </c>
      <c r="W135" s="8">
        <f t="shared" si="92"/>
        <v>9999</v>
      </c>
    </row>
    <row r="136" spans="1:25" x14ac:dyDescent="0.2">
      <c r="A136" s="7">
        <v>507</v>
      </c>
      <c r="B136" s="7"/>
      <c r="C136" s="8">
        <f>[129]Sheet2!$J$5</f>
        <v>36.494</v>
      </c>
      <c r="D136" s="8">
        <f>[129]Sheet2!$J$4</f>
        <v>-89.504000000000005</v>
      </c>
      <c r="E136" s="7">
        <f>[129]Sheet2!$D$8</f>
        <v>29162.086048286161</v>
      </c>
      <c r="F136" s="7" t="str">
        <f>[129]Sheet2!$G$4</f>
        <v>Mississippi</v>
      </c>
      <c r="G136" s="7" t="str">
        <f>[129]Sheet2!$G$5</f>
        <v>USA</v>
      </c>
      <c r="H136" s="7" t="str">
        <f>[129]Sheet2!$H$8</f>
        <v>2</v>
      </c>
      <c r="I136" s="7">
        <f t="shared" ref="I136" si="99">VALUE(H136)</f>
        <v>2</v>
      </c>
      <c r="J136" s="15" t="e">
        <f>[129]Sheet2!$H$9</f>
        <v>#N/A</v>
      </c>
      <c r="K136" s="19">
        <f>[129]Sheet2!$D$9</f>
        <v>7.3167434436686722</v>
      </c>
      <c r="L136" s="9">
        <f>[129]Sheet2!$D$7</f>
        <v>43923</v>
      </c>
      <c r="N136" s="8">
        <f t="shared" si="82"/>
        <v>9999</v>
      </c>
      <c r="O136" s="8">
        <f t="shared" si="83"/>
        <v>9999</v>
      </c>
      <c r="P136" s="8">
        <f t="shared" si="84"/>
        <v>-89.504000000000005</v>
      </c>
      <c r="Q136" s="8">
        <f t="shared" si="85"/>
        <v>36.494</v>
      </c>
      <c r="R136" s="8">
        <f t="shared" si="86"/>
        <v>9999</v>
      </c>
      <c r="S136" s="8">
        <f t="shared" si="87"/>
        <v>9999</v>
      </c>
      <c r="T136" s="8">
        <f t="shared" si="88"/>
        <v>9999</v>
      </c>
      <c r="U136" s="8">
        <f t="shared" si="89"/>
        <v>9999</v>
      </c>
      <c r="V136" s="8">
        <f t="shared" si="91"/>
        <v>9999</v>
      </c>
      <c r="W136" s="8">
        <f t="shared" si="92"/>
        <v>9999</v>
      </c>
    </row>
    <row r="137" spans="1:25" x14ac:dyDescent="0.2">
      <c r="A137" s="7">
        <v>510</v>
      </c>
      <c r="B137" s="7"/>
      <c r="C137" s="8">
        <f>[130]Sheet2!$J$5</f>
        <v>37.933999999999997</v>
      </c>
      <c r="D137" s="8">
        <f>[130]Sheet2!$J$4</f>
        <v>-87.614000000000004</v>
      </c>
      <c r="E137" s="7">
        <f>[130]Sheet2!$D$8</f>
        <v>19760.522579917539</v>
      </c>
      <c r="F137" s="7" t="str">
        <f>[130]Sheet2!$G$4</f>
        <v>Ohio</v>
      </c>
      <c r="G137" s="7" t="str">
        <f>[130]Sheet2!$G$5</f>
        <v>USA</v>
      </c>
      <c r="H137" s="7" t="str">
        <f>[130]Sheet2!$H$8</f>
        <v>3</v>
      </c>
      <c r="I137" s="7">
        <f>VALUE(H137)</f>
        <v>3</v>
      </c>
      <c r="J137" s="15" t="e">
        <f>[130]Sheet2!$H$9</f>
        <v>#N/A</v>
      </c>
      <c r="K137" s="19">
        <f>[130]Sheet2!$D$9</f>
        <v>40.620340470831614</v>
      </c>
      <c r="L137" s="9">
        <f>[130]Sheet2!$D$7</f>
        <v>43922</v>
      </c>
      <c r="N137" s="8">
        <f t="shared" si="82"/>
        <v>9999</v>
      </c>
      <c r="O137" s="8">
        <f t="shared" si="83"/>
        <v>9999</v>
      </c>
      <c r="P137" s="8">
        <f t="shared" si="84"/>
        <v>9999</v>
      </c>
      <c r="Q137" s="8">
        <f t="shared" si="85"/>
        <v>9999</v>
      </c>
      <c r="R137" s="8">
        <f t="shared" si="86"/>
        <v>-87.614000000000004</v>
      </c>
      <c r="S137" s="8">
        <f t="shared" si="87"/>
        <v>37.933999999999997</v>
      </c>
      <c r="T137" s="8">
        <f t="shared" si="88"/>
        <v>9999</v>
      </c>
      <c r="U137" s="8">
        <f t="shared" si="89"/>
        <v>9999</v>
      </c>
      <c r="V137" s="8">
        <f t="shared" si="91"/>
        <v>9999</v>
      </c>
      <c r="W137" s="8">
        <f t="shared" si="92"/>
        <v>9999</v>
      </c>
    </row>
    <row r="138" spans="1:25" x14ac:dyDescent="0.2">
      <c r="A138" s="7">
        <v>514</v>
      </c>
      <c r="B138" s="7"/>
      <c r="C138" s="8">
        <f>[131]Sheet2!$J$5</f>
        <v>38.923999999999999</v>
      </c>
      <c r="D138" s="8">
        <f>[131]Sheet2!$J$4</f>
        <v>-87.524000000000001</v>
      </c>
      <c r="E138" s="7">
        <f>[131]Sheet2!$D$8</f>
        <v>666.71496924909661</v>
      </c>
      <c r="F138" s="7" t="str">
        <f>[131]Sheet2!$G$4</f>
        <v>Wabash</v>
      </c>
      <c r="G138" s="7" t="str">
        <f>[131]Sheet2!$G$5</f>
        <v>USA</v>
      </c>
      <c r="H138" s="7" t="str">
        <f>[131]Sheet2!$H$8</f>
        <v>2</v>
      </c>
      <c r="I138" s="7">
        <f>VALUE(H138)</f>
        <v>2</v>
      </c>
      <c r="J138" s="15" t="e">
        <f>[131]Sheet2!$H$9</f>
        <v>#N/A</v>
      </c>
      <c r="K138" s="19">
        <f>[131]Sheet2!$D$9</f>
        <v>13.001432259945148</v>
      </c>
      <c r="L138" s="9">
        <f>[131]Sheet2!$D$7</f>
        <v>43922</v>
      </c>
      <c r="N138" s="8">
        <f>IF($I138=1,$D138,9999)</f>
        <v>9999</v>
      </c>
      <c r="O138" s="8">
        <f>IF($I138=1,$C138,9999)</f>
        <v>9999</v>
      </c>
      <c r="P138" s="8">
        <f>IF($I138=2,$D138,9999)</f>
        <v>-87.524000000000001</v>
      </c>
      <c r="Q138" s="8">
        <f>IF($I138=2,$C138,9999)</f>
        <v>38.923999999999999</v>
      </c>
      <c r="R138" s="8">
        <f>IF($I138=3,$D138,9999)</f>
        <v>9999</v>
      </c>
      <c r="S138" s="8">
        <f>IF($I138=3,$C138,9999)</f>
        <v>9999</v>
      </c>
      <c r="T138" s="8">
        <f>IF($I138=4,$D138,9999)</f>
        <v>9999</v>
      </c>
      <c r="U138" s="8">
        <f>IF($I138=4,$C138,9999)</f>
        <v>9999</v>
      </c>
      <c r="V138" s="8">
        <f t="shared" si="91"/>
        <v>9999</v>
      </c>
      <c r="W138" s="8">
        <f t="shared" si="92"/>
        <v>9999</v>
      </c>
      <c r="Y138" s="1"/>
    </row>
    <row r="139" spans="1:25" x14ac:dyDescent="0.2">
      <c r="A139" s="7">
        <v>516</v>
      </c>
      <c r="B139" s="7"/>
      <c r="C139" s="8">
        <f>[132]Sheet2!$J$5</f>
        <v>38.923999999999999</v>
      </c>
      <c r="D139" s="8">
        <f>[132]Sheet2!$J$4</f>
        <v>-87.073999999999998</v>
      </c>
      <c r="E139" s="7">
        <f>[132]Sheet2!$D$8</f>
        <v>945.17805094876451</v>
      </c>
      <c r="F139" s="7" t="str">
        <f>[132]Sheet2!$G$4</f>
        <v>White</v>
      </c>
      <c r="G139" s="7" t="str">
        <f>[132]Sheet2!$G$5</f>
        <v>USA</v>
      </c>
      <c r="H139" s="7" t="str">
        <f>[132]Sheet2!$H$8</f>
        <v>3</v>
      </c>
      <c r="I139" s="7">
        <f>VALUE(H139)</f>
        <v>3</v>
      </c>
      <c r="J139" s="15" t="e">
        <f>[132]Sheet2!$H$9</f>
        <v>#N/A</v>
      </c>
      <c r="K139" s="19">
        <f>[132]Sheet2!$D$9</f>
        <v>49.694685963817584</v>
      </c>
      <c r="L139" s="9">
        <f>[132]Sheet2!$D$7</f>
        <v>43921</v>
      </c>
      <c r="N139" s="8">
        <f>IF($I139=1,$D139,9999)</f>
        <v>9999</v>
      </c>
      <c r="O139" s="8">
        <f>IF($I139=1,$C139,9999)</f>
        <v>9999</v>
      </c>
      <c r="P139" s="8">
        <f>IF($I139=2,$D139,9999)</f>
        <v>9999</v>
      </c>
      <c r="Q139" s="8">
        <f>IF($I139=2,$C139,9999)</f>
        <v>9999</v>
      </c>
      <c r="R139" s="8">
        <f>IF($I139=3,$D139,9999)</f>
        <v>-87.073999999999998</v>
      </c>
      <c r="S139" s="8">
        <f>IF($I139=3,$C139,9999)</f>
        <v>38.923999999999999</v>
      </c>
      <c r="T139" s="8">
        <f>IF($I139=4,$D139,9999)</f>
        <v>9999</v>
      </c>
      <c r="U139" s="8">
        <f>IF($I139=4,$C139,9999)</f>
        <v>9999</v>
      </c>
      <c r="V139" s="8">
        <f t="shared" si="91"/>
        <v>9999</v>
      </c>
      <c r="W139" s="8">
        <f t="shared" si="92"/>
        <v>9999</v>
      </c>
    </row>
    <row r="140" spans="1:25" x14ac:dyDescent="0.2">
      <c r="A140" s="7">
        <v>521</v>
      </c>
      <c r="B140" s="7"/>
      <c r="C140" s="8">
        <f>[133]Sheet2!$J$5</f>
        <v>48.823999999999998</v>
      </c>
      <c r="D140" s="8">
        <f>[133]Sheet2!$J$4</f>
        <v>-97.153999999999996</v>
      </c>
      <c r="E140" s="7">
        <f>[133]Sheet2!$D$8</f>
        <v>2709.9519820622868</v>
      </c>
      <c r="F140" s="7" t="str">
        <f>[133]Sheet2!$G$4</f>
        <v>Red</v>
      </c>
      <c r="G140" s="7" t="str">
        <f>[133]Sheet2!$G$5</f>
        <v>USA</v>
      </c>
      <c r="H140" s="7" t="str">
        <f>[133]Sheet2!$H$8</f>
        <v>2</v>
      </c>
      <c r="I140" s="7">
        <f t="shared" ref="I140" si="100">VALUE(H140)</f>
        <v>2</v>
      </c>
      <c r="J140" s="15" t="e">
        <f>[133]Sheet2!$H$9</f>
        <v>#N/A</v>
      </c>
      <c r="K140" s="19">
        <f>[133]Sheet2!$D$9</f>
        <v>191.78730854319889</v>
      </c>
      <c r="L140" s="9">
        <f>[133]Sheet2!$D$7</f>
        <v>43923</v>
      </c>
      <c r="N140" s="8">
        <f t="shared" ref="N140:N141" si="101">IF($I140=1,$D140,9999)</f>
        <v>9999</v>
      </c>
      <c r="O140" s="8">
        <f t="shared" ref="O140:O141" si="102">IF($I140=1,$C140,9999)</f>
        <v>9999</v>
      </c>
      <c r="P140" s="8">
        <f t="shared" ref="P140:P141" si="103">IF($I140=2,$D140,9999)</f>
        <v>-97.153999999999996</v>
      </c>
      <c r="Q140" s="8">
        <f t="shared" ref="Q140:Q141" si="104">IF($I140=2,$C140,9999)</f>
        <v>48.823999999999998</v>
      </c>
      <c r="R140" s="8">
        <f t="shared" ref="R140:R141" si="105">IF($I140=3,$D140,9999)</f>
        <v>9999</v>
      </c>
      <c r="S140" s="8">
        <f t="shared" ref="S140:S141" si="106">IF($I140=3,$C140,9999)</f>
        <v>9999</v>
      </c>
      <c r="T140" s="8">
        <f t="shared" ref="T140:T141" si="107">IF($I140=4,$D140,9999)</f>
        <v>9999</v>
      </c>
      <c r="U140" s="8">
        <f t="shared" ref="U140:U141" si="108">IF($I140=4,$C140,9999)</f>
        <v>9999</v>
      </c>
      <c r="V140" s="8">
        <f t="shared" si="91"/>
        <v>9999</v>
      </c>
      <c r="W140" s="8">
        <f t="shared" si="92"/>
        <v>9999</v>
      </c>
    </row>
    <row r="141" spans="1:25" x14ac:dyDescent="0.2">
      <c r="A141" s="7">
        <v>542</v>
      </c>
      <c r="B141" s="7"/>
      <c r="C141" s="8">
        <f>[134]Sheet2!$J$5</f>
        <v>-13.365</v>
      </c>
      <c r="D141" s="8">
        <f>[134]Sheet2!$J$4</f>
        <v>27.854999999999997</v>
      </c>
      <c r="E141" s="7">
        <f>[134]Sheet2!$D$8</f>
        <v>2599.0772022625088</v>
      </c>
      <c r="F141" s="7" t="str">
        <f>[134]Sheet2!$G$4</f>
        <v>Kafue</v>
      </c>
      <c r="G141" s="7" t="str">
        <f>[134]Sheet2!$G$5</f>
        <v>Zambia</v>
      </c>
      <c r="H141" s="7" t="str">
        <f>[134]Sheet2!$H$8</f>
        <v>3</v>
      </c>
      <c r="I141" s="7">
        <f t="shared" ref="I141:I172" si="109">VALUE(H141)</f>
        <v>3</v>
      </c>
      <c r="J141" s="15" t="e">
        <f>[134]Sheet2!$H$9</f>
        <v>#N/A</v>
      </c>
      <c r="K141" s="19">
        <f>[134]Sheet2!$D$9</f>
        <v>72.866451571943998</v>
      </c>
      <c r="L141" s="9">
        <f>[134]Sheet2!$D$7</f>
        <v>43923</v>
      </c>
      <c r="N141" s="8">
        <f t="shared" si="101"/>
        <v>9999</v>
      </c>
      <c r="O141" s="8">
        <f t="shared" si="102"/>
        <v>9999</v>
      </c>
      <c r="P141" s="8">
        <f t="shared" si="103"/>
        <v>9999</v>
      </c>
      <c r="Q141" s="8">
        <f t="shared" si="104"/>
        <v>9999</v>
      </c>
      <c r="R141" s="8">
        <f t="shared" si="105"/>
        <v>27.854999999999997</v>
      </c>
      <c r="S141" s="8">
        <f t="shared" si="106"/>
        <v>-13.365</v>
      </c>
      <c r="T141" s="8">
        <f t="shared" si="107"/>
        <v>9999</v>
      </c>
      <c r="U141" s="8">
        <f t="shared" si="108"/>
        <v>9999</v>
      </c>
      <c r="V141" s="8">
        <f t="shared" si="91"/>
        <v>9999</v>
      </c>
      <c r="W141" s="8">
        <f t="shared" si="92"/>
        <v>9999</v>
      </c>
    </row>
    <row r="142" spans="1:25" x14ac:dyDescent="0.2">
      <c r="A142" s="7">
        <v>660</v>
      </c>
      <c r="B142" s="7"/>
      <c r="C142" s="8">
        <f>[135]Sheet2!$J$5</f>
        <v>44.954000000000001</v>
      </c>
      <c r="D142" s="8">
        <f>[135]Sheet2!$J$4</f>
        <v>10.664999999999999</v>
      </c>
      <c r="E142" s="7">
        <f>[135]Sheet2!$D$8</f>
        <v>581.54110935874985</v>
      </c>
      <c r="F142" s="7" t="str">
        <f>[135]Sheet2!$G$4</f>
        <v>Po</v>
      </c>
      <c r="G142" s="7" t="str">
        <f>[135]Sheet2!$G$5</f>
        <v>Italy</v>
      </c>
      <c r="H142" s="7" t="str">
        <f>[135]Sheet2!$H$8</f>
        <v>2</v>
      </c>
      <c r="I142" s="7">
        <f t="shared" si="109"/>
        <v>2</v>
      </c>
      <c r="J142" s="15" t="e">
        <f>[135]Sheet2!$H$9</f>
        <v>#N/A</v>
      </c>
      <c r="K142" s="19">
        <f>[135]Sheet2!$D$9</f>
        <v>6.1557929650862784</v>
      </c>
      <c r="L142" s="9">
        <f>[135]Sheet2!$D$7</f>
        <v>43922</v>
      </c>
      <c r="N142" s="8">
        <f t="shared" ref="N142:N147" si="110">IF($I142=1,$D142,9999)</f>
        <v>9999</v>
      </c>
      <c r="O142" s="8">
        <f t="shared" ref="O142:O147" si="111">IF($I142=1,$C142,9999)</f>
        <v>9999</v>
      </c>
      <c r="P142" s="8">
        <f t="shared" ref="P142:P147" si="112">IF($I142=2,$D142,9999)</f>
        <v>10.664999999999999</v>
      </c>
      <c r="Q142" s="8">
        <f t="shared" ref="Q142:Q147" si="113">IF($I142=2,$C142,9999)</f>
        <v>44.954000000000001</v>
      </c>
      <c r="R142" s="8">
        <f t="shared" ref="R142:R147" si="114">IF($I142=3,$D142,9999)</f>
        <v>9999</v>
      </c>
      <c r="S142" s="8">
        <f t="shared" ref="S142:S147" si="115">IF($I142=3,$C142,9999)</f>
        <v>9999</v>
      </c>
      <c r="T142" s="8">
        <f t="shared" ref="T142:T147" si="116">IF($I142=4,$D142,9999)</f>
        <v>9999</v>
      </c>
      <c r="U142" s="8">
        <f t="shared" ref="U142:U147" si="117">IF($I142=4,$C142,9999)</f>
        <v>9999</v>
      </c>
      <c r="V142" s="8">
        <f t="shared" ref="V142:V147" si="118">IF($I142=0,$D142,9999)</f>
        <v>9999</v>
      </c>
      <c r="W142" s="8">
        <f t="shared" ref="W142:W147" si="119">IF($I142=0,$C142,9999)</f>
        <v>9999</v>
      </c>
    </row>
    <row r="143" spans="1:25" x14ac:dyDescent="0.2">
      <c r="A143" s="7">
        <v>661</v>
      </c>
      <c r="B143" s="7"/>
      <c r="C143" s="8">
        <f>[136]Sheet2!$J$5</f>
        <v>45.043999999999997</v>
      </c>
      <c r="D143" s="8">
        <f>[136]Sheet2!$J$4</f>
        <v>10.125</v>
      </c>
      <c r="E143" s="7">
        <f>[136]Sheet2!$D$8</f>
        <v>515.62279360894763</v>
      </c>
      <c r="F143" s="7" t="str">
        <f>[136]Sheet2!$G$4</f>
        <v>Po</v>
      </c>
      <c r="G143" s="7" t="str">
        <f>[136]Sheet2!$G$5</f>
        <v>Italy</v>
      </c>
      <c r="H143" s="7" t="str">
        <f>[136]Sheet2!$H$8</f>
        <v>1</v>
      </c>
      <c r="I143" s="7">
        <f t="shared" si="109"/>
        <v>1</v>
      </c>
      <c r="J143" s="15" t="e">
        <f>[136]Sheet2!$H$9</f>
        <v>#N/A</v>
      </c>
      <c r="K143" s="19">
        <f>[136]Sheet2!$D$9</f>
        <v>5.9208039748049988</v>
      </c>
      <c r="L143" s="9">
        <f>[136]Sheet2!$D$7</f>
        <v>43922</v>
      </c>
      <c r="N143" s="8">
        <f t="shared" si="110"/>
        <v>10.125</v>
      </c>
      <c r="O143" s="8">
        <f t="shared" si="111"/>
        <v>45.043999999999997</v>
      </c>
      <c r="P143" s="8">
        <f t="shared" si="112"/>
        <v>9999</v>
      </c>
      <c r="Q143" s="8">
        <f t="shared" si="113"/>
        <v>9999</v>
      </c>
      <c r="R143" s="8">
        <f t="shared" si="114"/>
        <v>9999</v>
      </c>
      <c r="S143" s="8">
        <f t="shared" si="115"/>
        <v>9999</v>
      </c>
      <c r="T143" s="8">
        <f t="shared" si="116"/>
        <v>9999</v>
      </c>
      <c r="U143" s="8">
        <f t="shared" si="117"/>
        <v>9999</v>
      </c>
      <c r="V143" s="8">
        <f t="shared" si="118"/>
        <v>9999</v>
      </c>
      <c r="W143" s="8">
        <f t="shared" si="119"/>
        <v>9999</v>
      </c>
    </row>
    <row r="144" spans="1:25" x14ac:dyDescent="0.2">
      <c r="A144" s="7">
        <v>662</v>
      </c>
      <c r="B144" s="7"/>
      <c r="C144" s="8">
        <f>[137]Sheet2!$J$5</f>
        <v>45.134</v>
      </c>
      <c r="D144" s="8">
        <f>[137]Sheet2!$J$4</f>
        <v>9.5850000000000009</v>
      </c>
      <c r="E144" s="7">
        <f>[137]Sheet2!$D$8</f>
        <v>405.50568252594246</v>
      </c>
      <c r="F144" s="7" t="str">
        <f>[137]Sheet2!$G$4</f>
        <v>Po</v>
      </c>
      <c r="G144" s="7" t="str">
        <f>[137]Sheet2!$G$5</f>
        <v>Italy</v>
      </c>
      <c r="H144" s="7" t="str">
        <f>[137]Sheet2!$H$8</f>
        <v>2</v>
      </c>
      <c r="I144" s="7">
        <f t="shared" si="109"/>
        <v>2</v>
      </c>
      <c r="J144" s="15" t="e">
        <f>[137]Sheet2!$H$9</f>
        <v>#N/A</v>
      </c>
      <c r="K144" s="19">
        <f>[137]Sheet2!$D$9</f>
        <v>6.3429057559503006</v>
      </c>
      <c r="L144" s="9">
        <f>[137]Sheet2!$D$7</f>
        <v>43922</v>
      </c>
      <c r="N144" s="8">
        <f t="shared" si="110"/>
        <v>9999</v>
      </c>
      <c r="O144" s="8">
        <f t="shared" si="111"/>
        <v>9999</v>
      </c>
      <c r="P144" s="8">
        <f t="shared" si="112"/>
        <v>9.5850000000000009</v>
      </c>
      <c r="Q144" s="8">
        <f t="shared" si="113"/>
        <v>45.134</v>
      </c>
      <c r="R144" s="8">
        <f t="shared" si="114"/>
        <v>9999</v>
      </c>
      <c r="S144" s="8">
        <f t="shared" si="115"/>
        <v>9999</v>
      </c>
      <c r="T144" s="8">
        <f t="shared" si="116"/>
        <v>9999</v>
      </c>
      <c r="U144" s="8">
        <f t="shared" si="117"/>
        <v>9999</v>
      </c>
      <c r="V144" s="8">
        <f t="shared" si="118"/>
        <v>9999</v>
      </c>
      <c r="W144" s="8">
        <f t="shared" si="119"/>
        <v>9999</v>
      </c>
    </row>
    <row r="145" spans="1:23" x14ac:dyDescent="0.2">
      <c r="A145" s="7">
        <v>663</v>
      </c>
      <c r="B145" s="7"/>
      <c r="C145" s="8">
        <f>[138]Sheet2!$J$5</f>
        <v>45.134</v>
      </c>
      <c r="D145" s="8">
        <f>[138]Sheet2!$J$4</f>
        <v>9.2249999999999996</v>
      </c>
      <c r="E145" s="7">
        <f>[138]Sheet2!$D$8</f>
        <v>429.84019951309119</v>
      </c>
      <c r="F145" s="7" t="str">
        <f>[138]Sheet2!$G$4</f>
        <v>Po</v>
      </c>
      <c r="G145" s="7" t="str">
        <f>[138]Sheet2!$G$5</f>
        <v>Italy</v>
      </c>
      <c r="H145" s="7" t="str">
        <f>[138]Sheet2!$H$8</f>
        <v>2</v>
      </c>
      <c r="I145" s="7">
        <f t="shared" si="109"/>
        <v>2</v>
      </c>
      <c r="J145" s="15" t="e">
        <f>[138]Sheet2!$H$9</f>
        <v>#N/A</v>
      </c>
      <c r="K145" s="19">
        <f>[138]Sheet2!$D$9</f>
        <v>7.0782966455297487</v>
      </c>
      <c r="L145" s="9">
        <f>[138]Sheet2!$D$7</f>
        <v>43922</v>
      </c>
      <c r="N145" s="8">
        <f t="shared" si="110"/>
        <v>9999</v>
      </c>
      <c r="O145" s="8">
        <f t="shared" si="111"/>
        <v>9999</v>
      </c>
      <c r="P145" s="8">
        <f t="shared" si="112"/>
        <v>9.2249999999999996</v>
      </c>
      <c r="Q145" s="8">
        <f t="shared" si="113"/>
        <v>45.134</v>
      </c>
      <c r="R145" s="8">
        <f t="shared" si="114"/>
        <v>9999</v>
      </c>
      <c r="S145" s="8">
        <f t="shared" si="115"/>
        <v>9999</v>
      </c>
      <c r="T145" s="8">
        <f t="shared" si="116"/>
        <v>9999</v>
      </c>
      <c r="U145" s="8">
        <f t="shared" si="117"/>
        <v>9999</v>
      </c>
      <c r="V145" s="8">
        <f t="shared" si="118"/>
        <v>9999</v>
      </c>
      <c r="W145" s="8">
        <f t="shared" si="119"/>
        <v>9999</v>
      </c>
    </row>
    <row r="146" spans="1:23" x14ac:dyDescent="0.2">
      <c r="A146" s="7">
        <v>665</v>
      </c>
      <c r="B146" s="7"/>
      <c r="C146" s="8">
        <f>[139]Sheet2!$J$5</f>
        <v>45.314</v>
      </c>
      <c r="D146" s="8">
        <f>[139]Sheet2!$J$4</f>
        <v>8.9550000000000001</v>
      </c>
      <c r="E146" s="7">
        <f>[139]Sheet2!$D$8</f>
        <v>233.79640224774266</v>
      </c>
      <c r="F146" s="7" t="str">
        <f>[139]Sheet2!$G$4</f>
        <v>Ticino</v>
      </c>
      <c r="G146" s="7" t="str">
        <f>[139]Sheet2!$G$5</f>
        <v>Italy</v>
      </c>
      <c r="H146" s="7" t="str">
        <f>[139]Sheet2!$H$8</f>
        <v>2</v>
      </c>
      <c r="I146" s="7">
        <f t="shared" si="109"/>
        <v>2</v>
      </c>
      <c r="J146" s="15" t="e">
        <f>[139]Sheet2!$H$9</f>
        <v>#N/A</v>
      </c>
      <c r="K146" s="19">
        <f>[139]Sheet2!$D$9</f>
        <v>14.95122268012252</v>
      </c>
      <c r="L146" s="9">
        <f>[139]Sheet2!$D$7</f>
        <v>43922</v>
      </c>
      <c r="N146" s="8">
        <f t="shared" si="110"/>
        <v>9999</v>
      </c>
      <c r="O146" s="8">
        <f t="shared" si="111"/>
        <v>9999</v>
      </c>
      <c r="P146" s="8">
        <f t="shared" si="112"/>
        <v>8.9550000000000001</v>
      </c>
      <c r="Q146" s="8">
        <f t="shared" si="113"/>
        <v>45.314</v>
      </c>
      <c r="R146" s="8">
        <f t="shared" si="114"/>
        <v>9999</v>
      </c>
      <c r="S146" s="8">
        <f t="shared" si="115"/>
        <v>9999</v>
      </c>
      <c r="T146" s="8">
        <f t="shared" si="116"/>
        <v>9999</v>
      </c>
      <c r="U146" s="8">
        <f t="shared" si="117"/>
        <v>9999</v>
      </c>
      <c r="V146" s="8">
        <f t="shared" si="118"/>
        <v>9999</v>
      </c>
      <c r="W146" s="8">
        <f t="shared" si="119"/>
        <v>9999</v>
      </c>
    </row>
    <row r="147" spans="1:23" x14ac:dyDescent="0.2">
      <c r="A147" s="7">
        <v>666</v>
      </c>
      <c r="B147" s="7"/>
      <c r="C147" s="8">
        <f>[140]Sheet2!$J$5</f>
        <v>45.134</v>
      </c>
      <c r="D147" s="8">
        <f>[140]Sheet2!$J$4</f>
        <v>8.4150000000000009</v>
      </c>
      <c r="E147" s="7">
        <f>[140]Sheet2!$D$8</f>
        <v>102.07823474865629</v>
      </c>
      <c r="F147" s="7" t="str">
        <f>[140]Sheet2!$G$4</f>
        <v>Po</v>
      </c>
      <c r="G147" s="7" t="str">
        <f>[140]Sheet2!$G$5</f>
        <v>Italy</v>
      </c>
      <c r="H147" s="7" t="str">
        <f>[140]Sheet2!$H$8</f>
        <v>2</v>
      </c>
      <c r="I147" s="7">
        <f t="shared" si="109"/>
        <v>2</v>
      </c>
      <c r="J147" s="15" t="e">
        <f>[140]Sheet2!$H$9</f>
        <v>#N/A</v>
      </c>
      <c r="K147" s="19">
        <f>[140]Sheet2!$D$9</f>
        <v>4.4667968008073773</v>
      </c>
      <c r="L147" s="9">
        <f>[140]Sheet2!$D$7</f>
        <v>43923</v>
      </c>
      <c r="N147" s="8">
        <f t="shared" si="110"/>
        <v>9999</v>
      </c>
      <c r="O147" s="8">
        <f t="shared" si="111"/>
        <v>9999</v>
      </c>
      <c r="P147" s="8">
        <f t="shared" si="112"/>
        <v>8.4150000000000009</v>
      </c>
      <c r="Q147" s="8">
        <f t="shared" si="113"/>
        <v>45.134</v>
      </c>
      <c r="R147" s="8">
        <f t="shared" si="114"/>
        <v>9999</v>
      </c>
      <c r="S147" s="8">
        <f t="shared" si="115"/>
        <v>9999</v>
      </c>
      <c r="T147" s="8">
        <f t="shared" si="116"/>
        <v>9999</v>
      </c>
      <c r="U147" s="8">
        <f t="shared" si="117"/>
        <v>9999</v>
      </c>
      <c r="V147" s="8">
        <f t="shared" si="118"/>
        <v>9999</v>
      </c>
      <c r="W147" s="8">
        <f t="shared" si="119"/>
        <v>9999</v>
      </c>
    </row>
    <row r="148" spans="1:23" x14ac:dyDescent="0.2">
      <c r="A148" s="7">
        <v>711</v>
      </c>
      <c r="B148" s="7"/>
      <c r="C148" s="8">
        <f>[141]Sheet2!$J$5</f>
        <v>51.704000000000001</v>
      </c>
      <c r="D148" s="8">
        <f>[141]Sheet2!$J$4</f>
        <v>-1.6640000000000001</v>
      </c>
      <c r="E148" s="7">
        <f>[141]Sheet2!$D$8</f>
        <v>9.1980399881787243</v>
      </c>
      <c r="F148" s="7" t="str">
        <f>[141]Sheet2!$G$4</f>
        <v>Thames</v>
      </c>
      <c r="G148" s="7" t="str">
        <f>[141]Sheet2!$G$5</f>
        <v>UK</v>
      </c>
      <c r="H148" s="7" t="str">
        <f>[141]Sheet2!$H$8</f>
        <v>2</v>
      </c>
      <c r="I148" s="7">
        <f t="shared" si="109"/>
        <v>2</v>
      </c>
      <c r="J148" s="15" t="e">
        <f>[141]Sheet2!$H$9</f>
        <v>#N/A</v>
      </c>
      <c r="K148" s="19">
        <f>[141]Sheet2!$D$9</f>
        <v>5.839775335927806</v>
      </c>
      <c r="L148" s="9">
        <f>[141]Sheet2!$D$7</f>
        <v>43923</v>
      </c>
      <c r="N148" s="8">
        <f t="shared" ref="N148:N149" si="120">IF($I148=1,$D148,9999)</f>
        <v>9999</v>
      </c>
      <c r="O148" s="8">
        <f t="shared" ref="O148:O149" si="121">IF($I148=1,$C148,9999)</f>
        <v>9999</v>
      </c>
      <c r="P148" s="8">
        <f t="shared" ref="P148:P149" si="122">IF($I148=2,$D148,9999)</f>
        <v>-1.6640000000000001</v>
      </c>
      <c r="Q148" s="8">
        <f t="shared" ref="Q148:Q149" si="123">IF($I148=2,$C148,9999)</f>
        <v>51.704000000000001</v>
      </c>
      <c r="R148" s="8">
        <f t="shared" ref="R148:R149" si="124">IF($I148=3,$D148,9999)</f>
        <v>9999</v>
      </c>
      <c r="S148" s="8">
        <f t="shared" ref="S148:S149" si="125">IF($I148=3,$C148,9999)</f>
        <v>9999</v>
      </c>
      <c r="T148" s="8">
        <f t="shared" ref="T148:T149" si="126">IF($I148=4,$D148,9999)</f>
        <v>9999</v>
      </c>
      <c r="U148" s="8">
        <f t="shared" ref="U148:U149" si="127">IF($I148=4,$C148,9999)</f>
        <v>9999</v>
      </c>
      <c r="V148" s="8">
        <f t="shared" ref="V148:V149" si="128">IF($I148=0,$D148,9999)</f>
        <v>9999</v>
      </c>
      <c r="W148" s="8">
        <f t="shared" ref="W148:W149" si="129">IF($I148=0,$C148,9999)</f>
        <v>9999</v>
      </c>
    </row>
    <row r="149" spans="1:23" x14ac:dyDescent="0.2">
      <c r="A149" s="7">
        <v>731</v>
      </c>
      <c r="B149" s="7"/>
      <c r="C149" s="8">
        <f>[142]Sheet2!$J$5</f>
        <v>46.664000000000001</v>
      </c>
      <c r="D149" s="8">
        <f>[142]Sheet2!$J$4</f>
        <v>28.215000000000003</v>
      </c>
      <c r="E149" s="7">
        <f>[142]Sheet2!$D$8</f>
        <v>89.964275003856443</v>
      </c>
      <c r="F149" s="7" t="str">
        <f>[142]Sheet2!$G$4</f>
        <v>Prut</v>
      </c>
      <c r="G149" s="7" t="str">
        <f>[142]Sheet2!$G$5</f>
        <v>Romania</v>
      </c>
      <c r="H149" s="7" t="str">
        <f>[142]Sheet2!$H$8</f>
        <v>2</v>
      </c>
      <c r="I149" s="7">
        <f t="shared" si="109"/>
        <v>2</v>
      </c>
      <c r="J149" s="15" t="e">
        <f>[142]Sheet2!$H$9</f>
        <v>#N/A</v>
      </c>
      <c r="K149" s="19">
        <f>[142]Sheet2!$D$9</f>
        <v>2.7612109548025257</v>
      </c>
      <c r="L149" s="9">
        <f>[142]Sheet2!$D$7</f>
        <v>43923</v>
      </c>
      <c r="N149" s="8">
        <f t="shared" si="120"/>
        <v>9999</v>
      </c>
      <c r="O149" s="8">
        <f t="shared" si="121"/>
        <v>9999</v>
      </c>
      <c r="P149" s="8">
        <f t="shared" si="122"/>
        <v>28.215000000000003</v>
      </c>
      <c r="Q149" s="8">
        <f t="shared" si="123"/>
        <v>46.664000000000001</v>
      </c>
      <c r="R149" s="8">
        <f t="shared" si="124"/>
        <v>9999</v>
      </c>
      <c r="S149" s="8">
        <f t="shared" si="125"/>
        <v>9999</v>
      </c>
      <c r="T149" s="8">
        <f t="shared" si="126"/>
        <v>9999</v>
      </c>
      <c r="U149" s="8">
        <f t="shared" si="127"/>
        <v>9999</v>
      </c>
      <c r="V149" s="8">
        <f t="shared" si="128"/>
        <v>9999</v>
      </c>
      <c r="W149" s="8">
        <f t="shared" si="129"/>
        <v>9999</v>
      </c>
    </row>
    <row r="150" spans="1:23" x14ac:dyDescent="0.2">
      <c r="A150" s="7">
        <v>783</v>
      </c>
      <c r="B150" s="7"/>
      <c r="C150" s="8">
        <f>[143]Sheet2!$J$5</f>
        <v>-31.725000000000001</v>
      </c>
      <c r="D150" s="8">
        <f>[143]Sheet2!$J$4</f>
        <v>-54.494</v>
      </c>
      <c r="E150" s="7">
        <f>[143]Sheet2!$D$8</f>
        <v>15.139499424913083</v>
      </c>
      <c r="F150" s="7" t="str">
        <f>[143]Sheet2!$G$4</f>
        <v>Negro</v>
      </c>
      <c r="G150" s="7" t="str">
        <f>[143]Sheet2!$G$5</f>
        <v>Uruguay</v>
      </c>
      <c r="H150" s="7" t="str">
        <f>[143]Sheet2!$H$8</f>
        <v>1</v>
      </c>
      <c r="I150" s="7">
        <f t="shared" si="109"/>
        <v>1</v>
      </c>
      <c r="J150" s="15" t="e">
        <f>[143]Sheet2!$H$9</f>
        <v>#N/A</v>
      </c>
      <c r="K150" s="19">
        <f>[143]Sheet2!$D$9</f>
        <v>3.2998648324229052</v>
      </c>
      <c r="L150" s="9">
        <f>[143]Sheet2!$D$7</f>
        <v>43921</v>
      </c>
      <c r="N150" s="8">
        <f t="shared" ref="N150:N165" si="130">IF($I150=1,$D150,9999)</f>
        <v>-54.494</v>
      </c>
      <c r="O150" s="8">
        <f t="shared" ref="O150:O165" si="131">IF($I150=1,$C150,9999)</f>
        <v>-31.725000000000001</v>
      </c>
      <c r="P150" s="8">
        <f t="shared" ref="P150:P165" si="132">IF($I150=2,$D150,9999)</f>
        <v>9999</v>
      </c>
      <c r="Q150" s="8">
        <f t="shared" ref="Q150:Q165" si="133">IF($I150=2,$C150,9999)</f>
        <v>9999</v>
      </c>
      <c r="R150" s="8">
        <f t="shared" ref="R150:R165" si="134">IF($I150=3,$D150,9999)</f>
        <v>9999</v>
      </c>
      <c r="S150" s="8">
        <f t="shared" ref="S150:S165" si="135">IF($I150=3,$C150,9999)</f>
        <v>9999</v>
      </c>
      <c r="T150" s="8">
        <f t="shared" ref="T150:T165" si="136">IF($I150=4,$D150,9999)</f>
        <v>9999</v>
      </c>
      <c r="U150" s="8">
        <f t="shared" ref="U150:U165" si="137">IF($I150=4,$C150,9999)</f>
        <v>9999</v>
      </c>
      <c r="V150" s="8">
        <f t="shared" ref="V150:V155" si="138">IF($I150=0,$D150,9999)</f>
        <v>9999</v>
      </c>
      <c r="W150" s="8">
        <f t="shared" ref="W150:W155" si="139">IF($I150=0,$C150,9999)</f>
        <v>9999</v>
      </c>
    </row>
    <row r="151" spans="1:23" x14ac:dyDescent="0.2">
      <c r="A151" s="7">
        <v>784</v>
      </c>
      <c r="B151" s="7"/>
      <c r="C151" s="8">
        <f>[144]Sheet2!$J$5</f>
        <v>-32.085000000000001</v>
      </c>
      <c r="D151" s="8">
        <f>[144]Sheet2!$J$4</f>
        <v>-54.584000000000003</v>
      </c>
      <c r="E151" s="7">
        <f>[144]Sheet2!$D$8</f>
        <v>0</v>
      </c>
      <c r="F151" s="7" t="str">
        <f>[144]Sheet2!$G$4</f>
        <v>Negro</v>
      </c>
      <c r="G151" s="7" t="str">
        <f>[144]Sheet2!$G$5</f>
        <v>Uruguay</v>
      </c>
      <c r="H151" s="7" t="str">
        <f>[144]Sheet2!$H$8</f>
        <v>1</v>
      </c>
      <c r="I151" s="7">
        <f t="shared" si="109"/>
        <v>1</v>
      </c>
      <c r="J151" s="15" t="e">
        <f>[144]Sheet2!$H$9</f>
        <v>#N/A</v>
      </c>
      <c r="K151" s="19">
        <f>[144]Sheet2!$D$9</f>
        <v>2.5833047023515136E-2</v>
      </c>
      <c r="L151" s="9">
        <f>[144]Sheet2!$D$7</f>
        <v>43921</v>
      </c>
      <c r="N151" s="8">
        <f t="shared" si="130"/>
        <v>-54.584000000000003</v>
      </c>
      <c r="O151" s="8">
        <f t="shared" si="131"/>
        <v>-32.085000000000001</v>
      </c>
      <c r="P151" s="8">
        <f t="shared" si="132"/>
        <v>9999</v>
      </c>
      <c r="Q151" s="8">
        <f t="shared" si="133"/>
        <v>9999</v>
      </c>
      <c r="R151" s="8">
        <f t="shared" si="134"/>
        <v>9999</v>
      </c>
      <c r="S151" s="8">
        <f t="shared" si="135"/>
        <v>9999</v>
      </c>
      <c r="T151" s="8">
        <f t="shared" si="136"/>
        <v>9999</v>
      </c>
      <c r="U151" s="8">
        <f t="shared" si="137"/>
        <v>9999</v>
      </c>
      <c r="V151" s="8">
        <f t="shared" si="138"/>
        <v>9999</v>
      </c>
      <c r="W151" s="8">
        <f t="shared" si="139"/>
        <v>9999</v>
      </c>
    </row>
    <row r="152" spans="1:23" x14ac:dyDescent="0.2">
      <c r="A152" s="7">
        <v>787</v>
      </c>
      <c r="B152" s="7"/>
      <c r="C152" s="8">
        <f>[145]Sheet2!$J$5</f>
        <v>-31.905000000000001</v>
      </c>
      <c r="D152" s="8">
        <f>[145]Sheet2!$J$4</f>
        <v>-55.484000000000002</v>
      </c>
      <c r="E152" s="7">
        <f>[145]Sheet2!$D$8</f>
        <v>60.568700776666446</v>
      </c>
      <c r="F152" s="7" t="str">
        <f>[145]Sheet2!$G$4</f>
        <v>Tacuarembo</v>
      </c>
      <c r="G152" s="7" t="str">
        <f>[145]Sheet2!$G$5</f>
        <v>Uruguay</v>
      </c>
      <c r="H152" s="7" t="str">
        <f>[145]Sheet2!$H$8</f>
        <v>2</v>
      </c>
      <c r="I152" s="7">
        <f t="shared" si="109"/>
        <v>2</v>
      </c>
      <c r="J152" s="15" t="e">
        <f>[145]Sheet2!$H$9</f>
        <v>#N/A</v>
      </c>
      <c r="K152" s="19">
        <f>[145]Sheet2!$D$9</f>
        <v>5.297402092304953</v>
      </c>
      <c r="L152" s="9">
        <f>[145]Sheet2!$D$7</f>
        <v>43921</v>
      </c>
      <c r="N152" s="8">
        <f t="shared" si="130"/>
        <v>9999</v>
      </c>
      <c r="O152" s="8">
        <f t="shared" si="131"/>
        <v>9999</v>
      </c>
      <c r="P152" s="8">
        <f t="shared" si="132"/>
        <v>-55.484000000000002</v>
      </c>
      <c r="Q152" s="8">
        <f t="shared" si="133"/>
        <v>-31.905000000000001</v>
      </c>
      <c r="R152" s="8">
        <f t="shared" si="134"/>
        <v>9999</v>
      </c>
      <c r="S152" s="8">
        <f t="shared" si="135"/>
        <v>9999</v>
      </c>
      <c r="T152" s="8">
        <f t="shared" si="136"/>
        <v>9999</v>
      </c>
      <c r="U152" s="8">
        <f t="shared" si="137"/>
        <v>9999</v>
      </c>
      <c r="V152" s="8">
        <f t="shared" si="138"/>
        <v>9999</v>
      </c>
      <c r="W152" s="8">
        <f t="shared" si="139"/>
        <v>9999</v>
      </c>
    </row>
    <row r="153" spans="1:23" x14ac:dyDescent="0.2">
      <c r="A153" s="7">
        <v>790</v>
      </c>
      <c r="B153" s="7"/>
      <c r="C153" s="8">
        <f>[146]Sheet2!$J$5</f>
        <v>-33.704999999999998</v>
      </c>
      <c r="D153" s="8">
        <f>[146]Sheet2!$J$4</f>
        <v>-54.403999999999996</v>
      </c>
      <c r="E153" s="7">
        <f>[146]Sheet2!$D$8</f>
        <v>18.35782985714286</v>
      </c>
      <c r="F153" s="7" t="str">
        <f>[146]Sheet2!$G$4</f>
        <v>Cebollati</v>
      </c>
      <c r="G153" s="7" t="str">
        <f>[146]Sheet2!$G$5</f>
        <v>Uruguay</v>
      </c>
      <c r="H153" s="7" t="str">
        <f>[146]Sheet2!$H$8</f>
        <v>2</v>
      </c>
      <c r="I153" s="7">
        <f t="shared" si="109"/>
        <v>2</v>
      </c>
      <c r="J153" s="15" t="e">
        <f>[146]Sheet2!$H$9</f>
        <v>#N/A</v>
      </c>
      <c r="K153" s="19">
        <f>[146]Sheet2!$D$9</f>
        <v>1.7628329532364666</v>
      </c>
      <c r="L153" s="9">
        <f>[146]Sheet2!$D$7</f>
        <v>43922</v>
      </c>
      <c r="N153" s="8">
        <f t="shared" si="130"/>
        <v>9999</v>
      </c>
      <c r="O153" s="8">
        <f t="shared" si="131"/>
        <v>9999</v>
      </c>
      <c r="P153" s="8">
        <f t="shared" si="132"/>
        <v>-54.403999999999996</v>
      </c>
      <c r="Q153" s="8">
        <f t="shared" si="133"/>
        <v>-33.704999999999998</v>
      </c>
      <c r="R153" s="8">
        <f t="shared" si="134"/>
        <v>9999</v>
      </c>
      <c r="S153" s="8">
        <f t="shared" si="135"/>
        <v>9999</v>
      </c>
      <c r="T153" s="8">
        <f t="shared" si="136"/>
        <v>9999</v>
      </c>
      <c r="U153" s="8">
        <f t="shared" si="137"/>
        <v>9999</v>
      </c>
      <c r="V153" s="8">
        <f t="shared" si="138"/>
        <v>9999</v>
      </c>
      <c r="W153" s="8">
        <f t="shared" si="139"/>
        <v>9999</v>
      </c>
    </row>
    <row r="154" spans="1:23" x14ac:dyDescent="0.2">
      <c r="A154" s="7">
        <v>792</v>
      </c>
      <c r="B154" s="7"/>
      <c r="C154" s="8">
        <f>[147]Sheet2!$J$5</f>
        <v>-32.715000000000003</v>
      </c>
      <c r="D154" s="8">
        <f>[147]Sheet2!$J$4</f>
        <v>-58.183999999999997</v>
      </c>
      <c r="E154" s="7">
        <f>[147]Sheet2!$D$8</f>
        <v>462.38708403499913</v>
      </c>
      <c r="F154" s="7" t="str">
        <f>[147]Sheet2!$G$4</f>
        <v>Uruguay</v>
      </c>
      <c r="G154" s="7" t="str">
        <f>[147]Sheet2!$G$5</f>
        <v>Argentina</v>
      </c>
      <c r="H154" s="7" t="str">
        <f>[147]Sheet2!$H$8</f>
        <v>1</v>
      </c>
      <c r="I154" s="7">
        <f t="shared" si="109"/>
        <v>1</v>
      </c>
      <c r="J154" s="15" t="e">
        <f>[147]Sheet2!$H$9</f>
        <v>#N/A</v>
      </c>
      <c r="K154" s="19">
        <f>[147]Sheet2!$D$9</f>
        <v>3.6739077945534686</v>
      </c>
      <c r="L154" s="9">
        <f>[147]Sheet2!$D$7</f>
        <v>43923</v>
      </c>
      <c r="N154" s="8">
        <f t="shared" si="130"/>
        <v>-58.183999999999997</v>
      </c>
      <c r="O154" s="8">
        <f t="shared" si="131"/>
        <v>-32.715000000000003</v>
      </c>
      <c r="P154" s="8">
        <f t="shared" si="132"/>
        <v>9999</v>
      </c>
      <c r="Q154" s="8">
        <f t="shared" si="133"/>
        <v>9999</v>
      </c>
      <c r="R154" s="8">
        <f t="shared" si="134"/>
        <v>9999</v>
      </c>
      <c r="S154" s="8">
        <f t="shared" si="135"/>
        <v>9999</v>
      </c>
      <c r="T154" s="8">
        <f t="shared" si="136"/>
        <v>9999</v>
      </c>
      <c r="U154" s="8">
        <f t="shared" si="137"/>
        <v>9999</v>
      </c>
      <c r="V154" s="8">
        <f t="shared" si="138"/>
        <v>9999</v>
      </c>
      <c r="W154" s="8">
        <f t="shared" si="139"/>
        <v>9999</v>
      </c>
    </row>
    <row r="155" spans="1:23" x14ac:dyDescent="0.2">
      <c r="A155" s="7">
        <v>794</v>
      </c>
      <c r="B155" s="7"/>
      <c r="C155" s="8">
        <f>[148]Sheet2!$J$5</f>
        <v>-31.454999999999998</v>
      </c>
      <c r="D155" s="8">
        <f>[148]Sheet2!$J$4</f>
        <v>-58.094000000000001</v>
      </c>
      <c r="E155" s="7">
        <f>[148]Sheet2!$D$8</f>
        <v>2296.7995056249201</v>
      </c>
      <c r="F155" s="7" t="str">
        <f>[148]Sheet2!$G$4</f>
        <v>Uruguay</v>
      </c>
      <c r="G155" s="7" t="str">
        <f>[148]Sheet2!$G$5</f>
        <v>Argentina</v>
      </c>
      <c r="H155" s="7" t="str">
        <f>[148]Sheet2!$H$8</f>
        <v>1</v>
      </c>
      <c r="I155" s="7">
        <f t="shared" si="109"/>
        <v>1</v>
      </c>
      <c r="J155" s="15" t="e">
        <f>[148]Sheet2!$H$9</f>
        <v>#N/A</v>
      </c>
      <c r="K155" s="19">
        <f>[148]Sheet2!$D$9</f>
        <v>5.1389125919033036</v>
      </c>
      <c r="L155" s="9">
        <f>[148]Sheet2!$D$7</f>
        <v>43923</v>
      </c>
      <c r="N155" s="8">
        <f t="shared" si="130"/>
        <v>-58.094000000000001</v>
      </c>
      <c r="O155" s="8">
        <f t="shared" si="131"/>
        <v>-31.454999999999998</v>
      </c>
      <c r="P155" s="8">
        <f t="shared" si="132"/>
        <v>9999</v>
      </c>
      <c r="Q155" s="8">
        <f t="shared" si="133"/>
        <v>9999</v>
      </c>
      <c r="R155" s="8">
        <f t="shared" si="134"/>
        <v>9999</v>
      </c>
      <c r="S155" s="8">
        <f t="shared" si="135"/>
        <v>9999</v>
      </c>
      <c r="T155" s="8">
        <f t="shared" si="136"/>
        <v>9999</v>
      </c>
      <c r="U155" s="8">
        <f t="shared" si="137"/>
        <v>9999</v>
      </c>
      <c r="V155" s="8">
        <f t="shared" si="138"/>
        <v>9999</v>
      </c>
      <c r="W155" s="8">
        <f t="shared" si="139"/>
        <v>9999</v>
      </c>
    </row>
    <row r="156" spans="1:23" x14ac:dyDescent="0.2">
      <c r="A156" s="7">
        <v>809</v>
      </c>
      <c r="B156" s="7"/>
      <c r="C156" s="8">
        <f>[149]Sheet2!$J$5</f>
        <v>-32.354999999999997</v>
      </c>
      <c r="D156" s="8">
        <f>[149]Sheet2!$J$4</f>
        <v>-60.704000000000001</v>
      </c>
      <c r="E156" s="7">
        <f>[149]Sheet2!$D$8</f>
        <v>9738.6074196758636</v>
      </c>
      <c r="F156" s="7" t="str">
        <f>[149]Sheet2!$G$4</f>
        <v>Parana</v>
      </c>
      <c r="G156" s="7" t="str">
        <f>[149]Sheet2!$G$5</f>
        <v>Argentina</v>
      </c>
      <c r="H156" s="7" t="str">
        <f>[149]Sheet2!$H$8</f>
        <v>1</v>
      </c>
      <c r="I156" s="7">
        <f t="shared" si="109"/>
        <v>1</v>
      </c>
      <c r="J156" s="15" t="e">
        <f>[149]Sheet2!$H$9</f>
        <v>#N/A</v>
      </c>
      <c r="K156" s="19">
        <f>[149]Sheet2!$D$9</f>
        <v>2.3612964742550377</v>
      </c>
      <c r="L156" s="9">
        <f>[149]Sheet2!$D$7</f>
        <v>43923</v>
      </c>
      <c r="N156" s="8">
        <f t="shared" si="130"/>
        <v>-60.704000000000001</v>
      </c>
      <c r="O156" s="8">
        <f t="shared" si="131"/>
        <v>-32.354999999999997</v>
      </c>
      <c r="P156" s="8">
        <f t="shared" si="132"/>
        <v>9999</v>
      </c>
      <c r="Q156" s="8">
        <f t="shared" si="133"/>
        <v>9999</v>
      </c>
      <c r="R156" s="8">
        <f t="shared" si="134"/>
        <v>9999</v>
      </c>
      <c r="S156" s="8">
        <f t="shared" si="135"/>
        <v>9999</v>
      </c>
      <c r="T156" s="8">
        <f t="shared" si="136"/>
        <v>9999</v>
      </c>
      <c r="U156" s="8">
        <f t="shared" si="137"/>
        <v>9999</v>
      </c>
      <c r="V156" s="8">
        <f t="shared" ref="V156:V176" si="140">IF($I156=0,$D156,9999)</f>
        <v>9999</v>
      </c>
      <c r="W156" s="8">
        <f t="shared" ref="W156:W176" si="141">IF($I156=0,$C156,9999)</f>
        <v>9999</v>
      </c>
    </row>
    <row r="157" spans="1:23" x14ac:dyDescent="0.2">
      <c r="A157" s="7">
        <v>810</v>
      </c>
      <c r="B157" s="7"/>
      <c r="C157" s="8">
        <f>[150]Sheet2!$J$5</f>
        <v>-31.814999999999998</v>
      </c>
      <c r="D157" s="8">
        <f>[150]Sheet2!$J$4</f>
        <v>-60.704000000000001</v>
      </c>
      <c r="E157" s="7">
        <f>[149]Sheet2!$D$8</f>
        <v>9738.6074196758636</v>
      </c>
      <c r="F157" s="7" t="str">
        <f>[150]Sheet2!$G$4</f>
        <v>Parana</v>
      </c>
      <c r="G157" s="7" t="str">
        <f>[150]Sheet2!$G$5</f>
        <v>Argentina</v>
      </c>
      <c r="H157" s="7" t="str">
        <f>[150]Sheet2!$H$8</f>
        <v>1</v>
      </c>
      <c r="I157" s="7">
        <f t="shared" si="109"/>
        <v>1</v>
      </c>
      <c r="J157" s="15" t="e">
        <f>[150]Sheet2!$H$9</f>
        <v>#N/A</v>
      </c>
      <c r="K157" s="19">
        <f>[150]Sheet2!$D$9</f>
        <v>2.4098623881484062E-2</v>
      </c>
      <c r="L157" s="9">
        <f>[150]Sheet2!$D$7</f>
        <v>43923</v>
      </c>
      <c r="N157" s="8">
        <f t="shared" si="130"/>
        <v>-60.704000000000001</v>
      </c>
      <c r="O157" s="8">
        <f t="shared" si="131"/>
        <v>-31.814999999999998</v>
      </c>
      <c r="P157" s="8">
        <f t="shared" si="132"/>
        <v>9999</v>
      </c>
      <c r="Q157" s="8">
        <f t="shared" si="133"/>
        <v>9999</v>
      </c>
      <c r="R157" s="8">
        <f t="shared" si="134"/>
        <v>9999</v>
      </c>
      <c r="S157" s="8">
        <f t="shared" si="135"/>
        <v>9999</v>
      </c>
      <c r="T157" s="8">
        <f t="shared" si="136"/>
        <v>9999</v>
      </c>
      <c r="U157" s="8">
        <f t="shared" si="137"/>
        <v>9999</v>
      </c>
      <c r="V157" s="8">
        <f t="shared" si="140"/>
        <v>9999</v>
      </c>
      <c r="W157" s="8">
        <f t="shared" si="141"/>
        <v>9999</v>
      </c>
    </row>
    <row r="158" spans="1:23" x14ac:dyDescent="0.2">
      <c r="A158" s="7">
        <v>818</v>
      </c>
      <c r="B158" s="7"/>
      <c r="C158" s="8">
        <f>[151]Sheet2!$J$5</f>
        <v>-30.375</v>
      </c>
      <c r="D158" s="8">
        <f>[151]Sheet2!$J$4</f>
        <v>-59.713999999999999</v>
      </c>
      <c r="E158" s="7">
        <f>[151]Sheet2!$D$8</f>
        <v>4459.3353442059888</v>
      </c>
      <c r="F158" s="7" t="str">
        <f>[151]Sheet2!$G$4</f>
        <v>Parana</v>
      </c>
      <c r="G158" s="7" t="str">
        <f>[151]Sheet2!$G$5</f>
        <v>Argentina</v>
      </c>
      <c r="H158" s="7" t="str">
        <f>[151]Sheet2!$H$8</f>
        <v>1</v>
      </c>
      <c r="I158" s="7">
        <f t="shared" si="109"/>
        <v>1</v>
      </c>
      <c r="J158" s="15" t="e">
        <f>[151]Sheet2!$H$9</f>
        <v>#N/A</v>
      </c>
      <c r="K158" s="19">
        <f>[151]Sheet2!$D$9</f>
        <v>1.5820224467118771</v>
      </c>
      <c r="L158" s="9">
        <f>[151]Sheet2!$D$7</f>
        <v>43923</v>
      </c>
      <c r="N158" s="8">
        <f t="shared" si="130"/>
        <v>-59.713999999999999</v>
      </c>
      <c r="O158" s="8">
        <f t="shared" si="131"/>
        <v>-30.375</v>
      </c>
      <c r="P158" s="8">
        <f t="shared" si="132"/>
        <v>9999</v>
      </c>
      <c r="Q158" s="8">
        <f t="shared" si="133"/>
        <v>9999</v>
      </c>
      <c r="R158" s="8">
        <f t="shared" si="134"/>
        <v>9999</v>
      </c>
      <c r="S158" s="8">
        <f t="shared" si="135"/>
        <v>9999</v>
      </c>
      <c r="T158" s="8">
        <f t="shared" si="136"/>
        <v>9999</v>
      </c>
      <c r="U158" s="8">
        <f t="shared" si="137"/>
        <v>9999</v>
      </c>
      <c r="V158" s="8">
        <f t="shared" si="140"/>
        <v>9999</v>
      </c>
      <c r="W158" s="8">
        <f t="shared" si="141"/>
        <v>9999</v>
      </c>
    </row>
    <row r="159" spans="1:23" x14ac:dyDescent="0.2">
      <c r="A159" s="7">
        <v>821</v>
      </c>
      <c r="B159" s="7"/>
      <c r="C159" s="8">
        <f>[152]Sheet2!$J$5</f>
        <v>-29.204999999999998</v>
      </c>
      <c r="D159" s="8">
        <f>[152]Sheet2!$J$4</f>
        <v>-59.444000000000003</v>
      </c>
      <c r="E159" s="7">
        <f>[152]Sheet2!$D$8</f>
        <v>14450.012691333977</v>
      </c>
      <c r="F159" s="7" t="str">
        <f>[152]Sheet2!$G$4</f>
        <v>Parana</v>
      </c>
      <c r="G159" s="7" t="str">
        <f>[152]Sheet2!$G$5</f>
        <v>Argentina</v>
      </c>
      <c r="H159" s="7" t="str">
        <f>[152]Sheet2!$H$8</f>
        <v>1</v>
      </c>
      <c r="I159" s="7">
        <f t="shared" si="109"/>
        <v>1</v>
      </c>
      <c r="J159" s="15" t="e">
        <f>[152]Sheet2!$H$9</f>
        <v>#N/A</v>
      </c>
      <c r="K159" s="19">
        <f>[152]Sheet2!$D$9</f>
        <v>4.3821734511227142</v>
      </c>
      <c r="L159" s="9">
        <f>[152]Sheet2!$D$7</f>
        <v>43923</v>
      </c>
      <c r="N159" s="8">
        <f t="shared" si="130"/>
        <v>-59.444000000000003</v>
      </c>
      <c r="O159" s="8">
        <f t="shared" si="131"/>
        <v>-29.204999999999998</v>
      </c>
      <c r="P159" s="8">
        <f t="shared" si="132"/>
        <v>9999</v>
      </c>
      <c r="Q159" s="8">
        <f t="shared" si="133"/>
        <v>9999</v>
      </c>
      <c r="R159" s="8">
        <f t="shared" si="134"/>
        <v>9999</v>
      </c>
      <c r="S159" s="8">
        <f t="shared" si="135"/>
        <v>9999</v>
      </c>
      <c r="T159" s="8">
        <f t="shared" si="136"/>
        <v>9999</v>
      </c>
      <c r="U159" s="8">
        <f t="shared" si="137"/>
        <v>9999</v>
      </c>
      <c r="V159" s="8">
        <f t="shared" si="140"/>
        <v>9999</v>
      </c>
      <c r="W159" s="8">
        <f t="shared" si="141"/>
        <v>9999</v>
      </c>
    </row>
    <row r="160" spans="1:23" x14ac:dyDescent="0.2">
      <c r="A160" s="7">
        <v>822</v>
      </c>
      <c r="B160" s="7"/>
      <c r="C160" s="8">
        <f>[153]Sheet2!$J$5</f>
        <v>-28.215000000000003</v>
      </c>
      <c r="D160" s="8">
        <f>[153]Sheet2!$J$4</f>
        <v>-59.084000000000003</v>
      </c>
      <c r="E160" s="7">
        <f>[153]Sheet2!$D$8</f>
        <v>11689.599224011996</v>
      </c>
      <c r="F160" s="7" t="str">
        <f>[153]Sheet2!$G$4</f>
        <v>Parana</v>
      </c>
      <c r="G160" s="7" t="str">
        <f>[153]Sheet2!$G$5</f>
        <v>Argentina</v>
      </c>
      <c r="H160" s="7" t="str">
        <f>[153]Sheet2!$H$8</f>
        <v>1</v>
      </c>
      <c r="I160" s="7">
        <f t="shared" si="109"/>
        <v>1</v>
      </c>
      <c r="J160" s="15" t="e">
        <f>[153]Sheet2!$H$9</f>
        <v>#N/A</v>
      </c>
      <c r="K160" s="19">
        <f>[153]Sheet2!$D$9</f>
        <v>4.3900112580099844</v>
      </c>
      <c r="L160" s="9">
        <f>[153]Sheet2!$D$7</f>
        <v>43923</v>
      </c>
      <c r="N160" s="8">
        <f t="shared" si="130"/>
        <v>-59.084000000000003</v>
      </c>
      <c r="O160" s="8">
        <f t="shared" si="131"/>
        <v>-28.215000000000003</v>
      </c>
      <c r="P160" s="8">
        <f t="shared" si="132"/>
        <v>9999</v>
      </c>
      <c r="Q160" s="8">
        <f t="shared" si="133"/>
        <v>9999</v>
      </c>
      <c r="R160" s="8">
        <f t="shared" si="134"/>
        <v>9999</v>
      </c>
      <c r="S160" s="8">
        <f t="shared" si="135"/>
        <v>9999</v>
      </c>
      <c r="T160" s="8">
        <f t="shared" si="136"/>
        <v>9999</v>
      </c>
      <c r="U160" s="8">
        <f t="shared" si="137"/>
        <v>9999</v>
      </c>
      <c r="V160" s="8">
        <f t="shared" si="140"/>
        <v>9999</v>
      </c>
      <c r="W160" s="8">
        <f t="shared" si="141"/>
        <v>9999</v>
      </c>
    </row>
    <row r="161" spans="1:23" x14ac:dyDescent="0.2">
      <c r="A161" s="7">
        <v>828</v>
      </c>
      <c r="B161" s="7"/>
      <c r="C161" s="8">
        <f>[154]Sheet2!$J$5</f>
        <v>-29.295000000000002</v>
      </c>
      <c r="D161" s="8">
        <f>[154]Sheet2!$J$4</f>
        <v>-56.653999999999996</v>
      </c>
      <c r="E161" s="7">
        <f>[154]Sheet2!$D$8</f>
        <v>2271.3155208319658</v>
      </c>
      <c r="F161" s="7" t="str">
        <f>[154]Sheet2!$G$4</f>
        <v>Uruguay</v>
      </c>
      <c r="G161" s="7" t="str">
        <f>[154]Sheet2!$G$5</f>
        <v>Argentina</v>
      </c>
      <c r="H161" s="7" t="str">
        <f>[154]Sheet2!$H$8</f>
        <v>2</v>
      </c>
      <c r="I161" s="7">
        <f t="shared" si="109"/>
        <v>2</v>
      </c>
      <c r="J161" s="15" t="e">
        <f>[154]Sheet2!$H$9</f>
        <v>#N/A</v>
      </c>
      <c r="K161" s="19">
        <f>[154]Sheet2!$D$9</f>
        <v>13.294192708713139</v>
      </c>
      <c r="L161" s="9">
        <f>[154]Sheet2!$D$7</f>
        <v>43923</v>
      </c>
      <c r="N161" s="8">
        <f t="shared" si="130"/>
        <v>9999</v>
      </c>
      <c r="O161" s="8">
        <f t="shared" si="131"/>
        <v>9999</v>
      </c>
      <c r="P161" s="8">
        <f t="shared" si="132"/>
        <v>-56.653999999999996</v>
      </c>
      <c r="Q161" s="8">
        <f t="shared" si="133"/>
        <v>-29.295000000000002</v>
      </c>
      <c r="R161" s="8">
        <f t="shared" si="134"/>
        <v>9999</v>
      </c>
      <c r="S161" s="8">
        <f t="shared" si="135"/>
        <v>9999</v>
      </c>
      <c r="T161" s="8">
        <f t="shared" si="136"/>
        <v>9999</v>
      </c>
      <c r="U161" s="8">
        <f t="shared" si="137"/>
        <v>9999</v>
      </c>
      <c r="V161" s="8">
        <f t="shared" si="140"/>
        <v>9999</v>
      </c>
      <c r="W161" s="8">
        <f t="shared" si="141"/>
        <v>9999</v>
      </c>
    </row>
    <row r="162" spans="1:23" x14ac:dyDescent="0.2">
      <c r="A162" s="7">
        <v>830</v>
      </c>
      <c r="B162" s="7"/>
      <c r="C162" s="8">
        <f>[155]Sheet2!$J$5</f>
        <v>-28.755000000000003</v>
      </c>
      <c r="D162" s="8">
        <f>[155]Sheet2!$J$4</f>
        <v>-56.204000000000001</v>
      </c>
      <c r="E162" s="7">
        <f>[155]Sheet2!$D$8</f>
        <v>2853.853247733321</v>
      </c>
      <c r="F162" s="7" t="str">
        <f>[155]Sheet2!$G$4</f>
        <v>Uruguay</v>
      </c>
      <c r="G162" s="7" t="str">
        <f>[155]Sheet2!$G$5</f>
        <v>Argentina</v>
      </c>
      <c r="H162" s="7" t="str">
        <f>[155]Sheet2!$H$8</f>
        <v>2</v>
      </c>
      <c r="I162" s="7">
        <f t="shared" si="109"/>
        <v>2</v>
      </c>
      <c r="J162" s="15" t="e">
        <f>[155]Sheet2!$H$9</f>
        <v>#N/A</v>
      </c>
      <c r="K162" s="19">
        <f>[155]Sheet2!$D$9</f>
        <v>13.747517903589852</v>
      </c>
      <c r="L162" s="9">
        <f>[155]Sheet2!$D$7</f>
        <v>43923</v>
      </c>
      <c r="N162" s="8">
        <f t="shared" si="130"/>
        <v>9999</v>
      </c>
      <c r="O162" s="8">
        <f t="shared" si="131"/>
        <v>9999</v>
      </c>
      <c r="P162" s="8">
        <f t="shared" si="132"/>
        <v>-56.204000000000001</v>
      </c>
      <c r="Q162" s="8">
        <f t="shared" si="133"/>
        <v>-28.755000000000003</v>
      </c>
      <c r="R162" s="8">
        <f t="shared" si="134"/>
        <v>9999</v>
      </c>
      <c r="S162" s="8">
        <f t="shared" si="135"/>
        <v>9999</v>
      </c>
      <c r="T162" s="8">
        <f t="shared" si="136"/>
        <v>9999</v>
      </c>
      <c r="U162" s="8">
        <f t="shared" si="137"/>
        <v>9999</v>
      </c>
      <c r="V162" s="8">
        <f t="shared" si="140"/>
        <v>9999</v>
      </c>
      <c r="W162" s="8">
        <f t="shared" si="141"/>
        <v>9999</v>
      </c>
    </row>
    <row r="163" spans="1:23" x14ac:dyDescent="0.2">
      <c r="A163" s="7">
        <v>834</v>
      </c>
      <c r="B163" s="7"/>
      <c r="C163" s="8">
        <f>[156]Sheet2!$J$5</f>
        <v>-29.384999999999998</v>
      </c>
      <c r="D163" s="8">
        <f>[156]Sheet2!$J$4</f>
        <v>-56.204000000000001</v>
      </c>
      <c r="E163" s="7">
        <f>[156]Sheet2!$D$8</f>
        <v>589.60905059400102</v>
      </c>
      <c r="F163" s="7" t="str">
        <f>[156]Sheet2!$G$4</f>
        <v>Ibicui</v>
      </c>
      <c r="G163" s="7" t="str">
        <f>[156]Sheet2!$G$5</f>
        <v>Brazil</v>
      </c>
      <c r="H163" s="7" t="str">
        <f>[156]Sheet2!$H$8</f>
        <v>2</v>
      </c>
      <c r="I163" s="7">
        <f t="shared" si="109"/>
        <v>2</v>
      </c>
      <c r="J163" s="15" t="e">
        <f>[156]Sheet2!$H$9</f>
        <v>#N/A</v>
      </c>
      <c r="K163" s="19">
        <f>[156]Sheet2!$D$9</f>
        <v>9.6266833123510942</v>
      </c>
      <c r="L163" s="9">
        <f>[156]Sheet2!$D$7</f>
        <v>43923</v>
      </c>
      <c r="N163" s="8">
        <f t="shared" si="130"/>
        <v>9999</v>
      </c>
      <c r="O163" s="8">
        <f t="shared" si="131"/>
        <v>9999</v>
      </c>
      <c r="P163" s="8">
        <f t="shared" si="132"/>
        <v>-56.204000000000001</v>
      </c>
      <c r="Q163" s="8">
        <f t="shared" si="133"/>
        <v>-29.384999999999998</v>
      </c>
      <c r="R163" s="8">
        <f t="shared" si="134"/>
        <v>9999</v>
      </c>
      <c r="S163" s="8">
        <f t="shared" si="135"/>
        <v>9999</v>
      </c>
      <c r="T163" s="8">
        <f t="shared" si="136"/>
        <v>9999</v>
      </c>
      <c r="U163" s="8">
        <f t="shared" si="137"/>
        <v>9999</v>
      </c>
      <c r="V163" s="8">
        <f t="shared" si="140"/>
        <v>9999</v>
      </c>
      <c r="W163" s="8">
        <f t="shared" si="141"/>
        <v>9999</v>
      </c>
    </row>
    <row r="164" spans="1:23" x14ac:dyDescent="0.2">
      <c r="A164" s="7">
        <v>835</v>
      </c>
      <c r="B164" s="7"/>
      <c r="C164" s="8">
        <f>[157]Sheet2!$J$5</f>
        <v>-29.564999999999998</v>
      </c>
      <c r="D164" s="8">
        <f>[157]Sheet2!$J$4</f>
        <v>-55.664000000000001</v>
      </c>
      <c r="E164" s="7">
        <f>[157]Sheet2!$D$8</f>
        <v>510.23859666666249</v>
      </c>
      <c r="F164" s="7" t="str">
        <f>[157]Sheet2!$G$4</f>
        <v>Ibicui</v>
      </c>
      <c r="G164" s="7" t="str">
        <f>[157]Sheet2!$G$5</f>
        <v>Brazil</v>
      </c>
      <c r="H164" s="7" t="str">
        <f>[157]Sheet2!$H$8</f>
        <v>2</v>
      </c>
      <c r="I164" s="7">
        <f t="shared" si="109"/>
        <v>2</v>
      </c>
      <c r="J164" s="15" t="e">
        <f>[157]Sheet2!$H$9</f>
        <v>#N/A</v>
      </c>
      <c r="K164" s="19">
        <f>[157]Sheet2!$D$9</f>
        <v>9.7847869748735299</v>
      </c>
      <c r="L164" s="9">
        <f>[157]Sheet2!$D$7</f>
        <v>43921</v>
      </c>
      <c r="N164" s="8">
        <f t="shared" si="130"/>
        <v>9999</v>
      </c>
      <c r="O164" s="8">
        <f t="shared" si="131"/>
        <v>9999</v>
      </c>
      <c r="P164" s="8">
        <f t="shared" si="132"/>
        <v>-55.664000000000001</v>
      </c>
      <c r="Q164" s="8">
        <f t="shared" si="133"/>
        <v>-29.564999999999998</v>
      </c>
      <c r="R164" s="8">
        <f t="shared" si="134"/>
        <v>9999</v>
      </c>
      <c r="S164" s="8">
        <f t="shared" si="135"/>
        <v>9999</v>
      </c>
      <c r="T164" s="8">
        <f t="shared" si="136"/>
        <v>9999</v>
      </c>
      <c r="U164" s="8">
        <f t="shared" si="137"/>
        <v>9999</v>
      </c>
      <c r="V164" s="8">
        <f t="shared" si="140"/>
        <v>9999</v>
      </c>
      <c r="W164" s="8">
        <f t="shared" si="141"/>
        <v>9999</v>
      </c>
    </row>
    <row r="165" spans="1:23" x14ac:dyDescent="0.2">
      <c r="A165" s="7">
        <v>836</v>
      </c>
      <c r="B165" s="7"/>
      <c r="C165" s="8">
        <f>[158]Sheet2!$J$5</f>
        <v>-29.655000000000001</v>
      </c>
      <c r="D165" s="8">
        <f>[158]Sheet2!$J$4</f>
        <v>-55.213999999999999</v>
      </c>
      <c r="E165" s="7">
        <f>[158]Sheet2!$D$8</f>
        <v>371.72296601883136</v>
      </c>
      <c r="F165" s="7" t="str">
        <f>[158]Sheet2!$G$4</f>
        <v>Ibicui</v>
      </c>
      <c r="G165" s="7" t="str">
        <f>[158]Sheet2!$G$5</f>
        <v>Brazil</v>
      </c>
      <c r="H165" s="7" t="str">
        <f>[158]Sheet2!$H$8</f>
        <v>2</v>
      </c>
      <c r="I165" s="7">
        <f t="shared" si="109"/>
        <v>2</v>
      </c>
      <c r="J165" s="15" t="e">
        <f>[158]Sheet2!$H$9</f>
        <v>#N/A</v>
      </c>
      <c r="K165" s="19">
        <f>[158]Sheet2!$D$9</f>
        <v>9.7547545882729061</v>
      </c>
      <c r="L165" s="9">
        <f>[158]Sheet2!$D$7</f>
        <v>43921</v>
      </c>
      <c r="N165" s="8">
        <f t="shared" si="130"/>
        <v>9999</v>
      </c>
      <c r="O165" s="8">
        <f t="shared" si="131"/>
        <v>9999</v>
      </c>
      <c r="P165" s="8">
        <f t="shared" si="132"/>
        <v>-55.213999999999999</v>
      </c>
      <c r="Q165" s="8">
        <f t="shared" si="133"/>
        <v>-29.655000000000001</v>
      </c>
      <c r="R165" s="8">
        <f t="shared" si="134"/>
        <v>9999</v>
      </c>
      <c r="S165" s="8">
        <f t="shared" si="135"/>
        <v>9999</v>
      </c>
      <c r="T165" s="8">
        <f t="shared" si="136"/>
        <v>9999</v>
      </c>
      <c r="U165" s="8">
        <f t="shared" si="137"/>
        <v>9999</v>
      </c>
      <c r="V165" s="8">
        <f t="shared" si="140"/>
        <v>9999</v>
      </c>
      <c r="W165" s="8">
        <f t="shared" si="141"/>
        <v>9999</v>
      </c>
    </row>
    <row r="166" spans="1:23" x14ac:dyDescent="0.2">
      <c r="A166" s="7">
        <v>838</v>
      </c>
      <c r="B166" s="7"/>
      <c r="C166" s="8">
        <f>[159]Sheet2!$J$5</f>
        <v>-29.924999999999997</v>
      </c>
      <c r="D166" s="8">
        <f>[159]Sheet2!$J$4</f>
        <v>-51.524000000000001</v>
      </c>
      <c r="E166" s="7">
        <f>[159]Sheet2!$D$8</f>
        <v>126.75657788023955</v>
      </c>
      <c r="F166" s="7" t="str">
        <f>[159]Sheet2!$G$4</f>
        <v>Jacui</v>
      </c>
      <c r="G166" s="7" t="str">
        <f>[159]Sheet2!$G$5</f>
        <v>Brazil</v>
      </c>
      <c r="H166" s="7" t="str">
        <f>[159]Sheet2!$H$8</f>
        <v>1</v>
      </c>
      <c r="I166" s="7">
        <f t="shared" si="109"/>
        <v>1</v>
      </c>
      <c r="J166" s="15" t="e">
        <f>[159]Sheet2!$H$9</f>
        <v>#N/A</v>
      </c>
      <c r="K166" s="19">
        <f>[159]Sheet2!$D$9</f>
        <v>0.56843230767324171</v>
      </c>
      <c r="L166" s="9">
        <f>[159]Sheet2!$D$7</f>
        <v>43922</v>
      </c>
      <c r="N166" s="8">
        <f t="shared" ref="N166:N178" si="142">IF($I166=1,$D166,9999)</f>
        <v>-51.524000000000001</v>
      </c>
      <c r="O166" s="8">
        <f t="shared" ref="O166:O178" si="143">IF($I166=1,$C166,9999)</f>
        <v>-29.924999999999997</v>
      </c>
      <c r="P166" s="8">
        <f t="shared" ref="P166:P178" si="144">IF($I166=2,$D166,9999)</f>
        <v>9999</v>
      </c>
      <c r="Q166" s="8">
        <f t="shared" ref="Q166:Q178" si="145">IF($I166=2,$C166,9999)</f>
        <v>9999</v>
      </c>
      <c r="R166" s="8">
        <f t="shared" ref="R166:R178" si="146">IF($I166=3,$D166,9999)</f>
        <v>9999</v>
      </c>
      <c r="S166" s="8">
        <f t="shared" ref="S166:S178" si="147">IF($I166=3,$C166,9999)</f>
        <v>9999</v>
      </c>
      <c r="T166" s="8">
        <f t="shared" ref="T166:T178" si="148">IF($I166=4,$D166,9999)</f>
        <v>9999</v>
      </c>
      <c r="U166" s="8">
        <f t="shared" ref="U166:U178" si="149">IF($I166=4,$C166,9999)</f>
        <v>9999</v>
      </c>
      <c r="V166" s="8">
        <f t="shared" si="140"/>
        <v>9999</v>
      </c>
      <c r="W166" s="8">
        <f t="shared" si="141"/>
        <v>9999</v>
      </c>
    </row>
    <row r="167" spans="1:23" x14ac:dyDescent="0.2">
      <c r="A167" s="7">
        <v>840</v>
      </c>
      <c r="B167" s="7"/>
      <c r="C167" s="8">
        <f>[160]Sheet2!$J$5</f>
        <v>-30.015000000000001</v>
      </c>
      <c r="D167" s="8">
        <f>[160]Sheet2!$J$4</f>
        <v>-52.963999999999999</v>
      </c>
      <c r="E167" s="7">
        <f>[160]Sheet2!$D$8</f>
        <v>0</v>
      </c>
      <c r="F167" s="7" t="str">
        <f>[160]Sheet2!$G$4</f>
        <v>Jacui</v>
      </c>
      <c r="G167" s="7" t="str">
        <f>[160]Sheet2!$G$5</f>
        <v>Brazil</v>
      </c>
      <c r="H167" s="7" t="str">
        <f>[160]Sheet2!$H$8</f>
        <v>1</v>
      </c>
      <c r="I167" s="7">
        <f t="shared" si="109"/>
        <v>1</v>
      </c>
      <c r="J167" s="15" t="e">
        <f>[160]Sheet2!$H$9</f>
        <v>#N/A</v>
      </c>
      <c r="K167" s="19">
        <f>[160]Sheet2!$D$9</f>
        <v>0</v>
      </c>
      <c r="L167" s="9">
        <f>[160]Sheet2!$D$7</f>
        <v>43922</v>
      </c>
      <c r="N167" s="8">
        <f t="shared" si="142"/>
        <v>-52.963999999999999</v>
      </c>
      <c r="O167" s="8">
        <f t="shared" si="143"/>
        <v>-30.015000000000001</v>
      </c>
      <c r="P167" s="8">
        <f t="shared" si="144"/>
        <v>9999</v>
      </c>
      <c r="Q167" s="8">
        <f t="shared" si="145"/>
        <v>9999</v>
      </c>
      <c r="R167" s="8">
        <f t="shared" si="146"/>
        <v>9999</v>
      </c>
      <c r="S167" s="8">
        <f t="shared" si="147"/>
        <v>9999</v>
      </c>
      <c r="T167" s="8">
        <f t="shared" si="148"/>
        <v>9999</v>
      </c>
      <c r="U167" s="8">
        <f t="shared" si="149"/>
        <v>9999</v>
      </c>
      <c r="V167" s="8">
        <f t="shared" si="140"/>
        <v>9999</v>
      </c>
      <c r="W167" s="8">
        <f t="shared" si="141"/>
        <v>9999</v>
      </c>
    </row>
    <row r="168" spans="1:23" x14ac:dyDescent="0.2">
      <c r="A168" s="7">
        <v>842</v>
      </c>
      <c r="B168" s="7"/>
      <c r="C168" s="8">
        <f>[161]Sheet2!$J$5</f>
        <v>-29.924999999999997</v>
      </c>
      <c r="D168" s="8">
        <f>[161]Sheet2!$J$4</f>
        <v>-53.054000000000002</v>
      </c>
      <c r="E168" s="7">
        <f>[161]Sheet2!$D$8</f>
        <v>0</v>
      </c>
      <c r="F168" s="7" t="str">
        <f>[161]Sheet2!$G$4</f>
        <v>Jacui</v>
      </c>
      <c r="G168" s="7" t="str">
        <f>[161]Sheet2!$G$5</f>
        <v>Brazil</v>
      </c>
      <c r="H168" s="7" t="str">
        <f>[161]Sheet2!$H$8</f>
        <v>1</v>
      </c>
      <c r="I168" s="7">
        <f t="shared" si="109"/>
        <v>1</v>
      </c>
      <c r="J168" s="15" t="e">
        <f>[161]Sheet2!$H$9</f>
        <v>#N/A</v>
      </c>
      <c r="K168" s="19">
        <f>[161]Sheet2!$D$9</f>
        <v>0</v>
      </c>
      <c r="L168" s="9">
        <f>[161]Sheet2!$D$7</f>
        <v>43922</v>
      </c>
      <c r="N168" s="8">
        <f t="shared" si="142"/>
        <v>-53.054000000000002</v>
      </c>
      <c r="O168" s="8">
        <f t="shared" si="143"/>
        <v>-29.924999999999997</v>
      </c>
      <c r="P168" s="8">
        <f t="shared" si="144"/>
        <v>9999</v>
      </c>
      <c r="Q168" s="8">
        <f t="shared" si="145"/>
        <v>9999</v>
      </c>
      <c r="R168" s="8">
        <f t="shared" si="146"/>
        <v>9999</v>
      </c>
      <c r="S168" s="8">
        <f t="shared" si="147"/>
        <v>9999</v>
      </c>
      <c r="T168" s="8">
        <f t="shared" si="148"/>
        <v>9999</v>
      </c>
      <c r="U168" s="8">
        <f t="shared" si="149"/>
        <v>9999</v>
      </c>
      <c r="V168" s="8">
        <f t="shared" si="140"/>
        <v>9999</v>
      </c>
      <c r="W168" s="8">
        <f t="shared" si="141"/>
        <v>9999</v>
      </c>
    </row>
    <row r="169" spans="1:23" x14ac:dyDescent="0.2">
      <c r="A169" s="7">
        <v>843</v>
      </c>
      <c r="B169" s="7"/>
      <c r="C169" s="8">
        <f>[162]Sheet2!$J$5</f>
        <v>-26.414999999999999</v>
      </c>
      <c r="D169" s="8">
        <f>[162]Sheet2!$J$4</f>
        <v>-57.734000000000002</v>
      </c>
      <c r="E169" s="7">
        <f>[162]Sheet2!$D$8</f>
        <v>221.47309748000043</v>
      </c>
      <c r="F169" s="7" t="str">
        <f>[162]Sheet2!$G$4</f>
        <v>Tebicuary</v>
      </c>
      <c r="G169" s="7" t="str">
        <f>[162]Sheet2!$G$5</f>
        <v>Paraguay</v>
      </c>
      <c r="H169" s="7" t="str">
        <f>[162]Sheet2!$H$8</f>
        <v>2</v>
      </c>
      <c r="I169" s="7">
        <f t="shared" si="109"/>
        <v>2</v>
      </c>
      <c r="J169" s="15" t="e">
        <f>[162]Sheet2!$H$9</f>
        <v>#N/A</v>
      </c>
      <c r="K169" s="19">
        <f>[162]Sheet2!$D$9</f>
        <v>4.9075633331149273</v>
      </c>
      <c r="L169" s="9">
        <f>[162]Sheet2!$D$7</f>
        <v>43923</v>
      </c>
      <c r="N169" s="8">
        <f t="shared" si="142"/>
        <v>9999</v>
      </c>
      <c r="O169" s="8">
        <f t="shared" si="143"/>
        <v>9999</v>
      </c>
      <c r="P169" s="8">
        <f t="shared" si="144"/>
        <v>-57.734000000000002</v>
      </c>
      <c r="Q169" s="8">
        <f t="shared" si="145"/>
        <v>-26.414999999999999</v>
      </c>
      <c r="R169" s="8">
        <f t="shared" si="146"/>
        <v>9999</v>
      </c>
      <c r="S169" s="8">
        <f t="shared" si="147"/>
        <v>9999</v>
      </c>
      <c r="T169" s="8">
        <f t="shared" si="148"/>
        <v>9999</v>
      </c>
      <c r="U169" s="8">
        <f t="shared" si="149"/>
        <v>9999</v>
      </c>
      <c r="V169" s="8">
        <f t="shared" si="140"/>
        <v>9999</v>
      </c>
      <c r="W169" s="8">
        <f t="shared" si="141"/>
        <v>9999</v>
      </c>
    </row>
    <row r="170" spans="1:23" x14ac:dyDescent="0.2">
      <c r="A170" s="7">
        <v>845</v>
      </c>
      <c r="B170" s="7"/>
      <c r="C170" s="8">
        <f>[163]Sheet2!$J$5</f>
        <v>-26.505000000000003</v>
      </c>
      <c r="D170" s="8">
        <f>[163]Sheet2!$J$4</f>
        <v>-57.194000000000003</v>
      </c>
      <c r="E170" s="7">
        <f>[163]Sheet2!$D$8</f>
        <v>0</v>
      </c>
      <c r="F170" s="7" t="str">
        <f>[163]Sheet2!$G$4</f>
        <v>Tebicuary</v>
      </c>
      <c r="G170" s="7" t="str">
        <f>[163]Sheet2!$G$5</f>
        <v>Paraguay</v>
      </c>
      <c r="H170" s="7" t="str">
        <f>[163]Sheet2!$H$8</f>
        <v>1</v>
      </c>
      <c r="I170" s="7">
        <f t="shared" si="109"/>
        <v>1</v>
      </c>
      <c r="J170" s="15" t="e">
        <f>[163]Sheet2!$H$9</f>
        <v>#N/A</v>
      </c>
      <c r="K170" s="19">
        <f>[163]Sheet2!$D$9</f>
        <v>0.19134437330767962</v>
      </c>
      <c r="L170" s="9">
        <f>[163]Sheet2!$D$7</f>
        <v>43923</v>
      </c>
      <c r="N170" s="8">
        <f t="shared" si="142"/>
        <v>-57.194000000000003</v>
      </c>
      <c r="O170" s="8">
        <f t="shared" si="143"/>
        <v>-26.505000000000003</v>
      </c>
      <c r="P170" s="8">
        <f t="shared" si="144"/>
        <v>9999</v>
      </c>
      <c r="Q170" s="8">
        <f t="shared" si="145"/>
        <v>9999</v>
      </c>
      <c r="R170" s="8">
        <f t="shared" si="146"/>
        <v>9999</v>
      </c>
      <c r="S170" s="8">
        <f t="shared" si="147"/>
        <v>9999</v>
      </c>
      <c r="T170" s="8">
        <f t="shared" si="148"/>
        <v>9999</v>
      </c>
      <c r="U170" s="8">
        <f t="shared" si="149"/>
        <v>9999</v>
      </c>
      <c r="V170" s="8">
        <f t="shared" si="140"/>
        <v>9999</v>
      </c>
      <c r="W170" s="8">
        <f t="shared" si="141"/>
        <v>9999</v>
      </c>
    </row>
    <row r="171" spans="1:23" x14ac:dyDescent="0.2">
      <c r="A171" s="7">
        <v>856</v>
      </c>
      <c r="B171" s="7"/>
      <c r="C171" s="8">
        <f>[164]Sheet2!$J$5</f>
        <v>-24.795000000000002</v>
      </c>
      <c r="D171" s="8">
        <f>[164]Sheet2!$J$4</f>
        <v>-57.283999999999999</v>
      </c>
      <c r="E171" s="7">
        <f>[164]Sheet2!$D$8</f>
        <v>1123.6901713109719</v>
      </c>
      <c r="F171" s="7" t="str">
        <f>[164]Sheet2!$G$4</f>
        <v>Paraguay</v>
      </c>
      <c r="G171" s="7" t="str">
        <f>[164]Sheet2!$G$5</f>
        <v>Paraguay</v>
      </c>
      <c r="H171" s="7" t="str">
        <f>[164]Sheet2!$H$8</f>
        <v>1</v>
      </c>
      <c r="I171" s="7">
        <f t="shared" si="109"/>
        <v>1</v>
      </c>
      <c r="J171" s="15" t="e">
        <f>[164]Sheet2!$H$9</f>
        <v>#N/A</v>
      </c>
      <c r="K171" s="19">
        <f>[164]Sheet2!$D$9</f>
        <v>0.86248155970216056</v>
      </c>
      <c r="L171" s="9">
        <f>[164]Sheet2!$D$7</f>
        <v>43923</v>
      </c>
      <c r="N171" s="8">
        <f t="shared" si="142"/>
        <v>-57.283999999999999</v>
      </c>
      <c r="O171" s="8">
        <f t="shared" si="143"/>
        <v>-24.795000000000002</v>
      </c>
      <c r="P171" s="8">
        <f t="shared" si="144"/>
        <v>9999</v>
      </c>
      <c r="Q171" s="8">
        <f t="shared" si="145"/>
        <v>9999</v>
      </c>
      <c r="R171" s="8">
        <f t="shared" si="146"/>
        <v>9999</v>
      </c>
      <c r="S171" s="8">
        <f t="shared" si="147"/>
        <v>9999</v>
      </c>
      <c r="T171" s="8">
        <f t="shared" si="148"/>
        <v>9999</v>
      </c>
      <c r="U171" s="8">
        <f t="shared" si="149"/>
        <v>9999</v>
      </c>
      <c r="V171" s="8">
        <f t="shared" si="140"/>
        <v>9999</v>
      </c>
      <c r="W171" s="8">
        <f t="shared" si="141"/>
        <v>9999</v>
      </c>
    </row>
    <row r="172" spans="1:23" x14ac:dyDescent="0.2">
      <c r="A172" s="7">
        <v>857</v>
      </c>
      <c r="B172" s="7"/>
      <c r="C172" s="8">
        <f>[165]Sheet2!$J$5</f>
        <v>-26.954999999999998</v>
      </c>
      <c r="D172" s="8">
        <f>[165]Sheet2!$J$4</f>
        <v>-58.454000000000001</v>
      </c>
      <c r="E172" s="7">
        <f>[165]Sheet2!$D$8</f>
        <v>5700.945235003368</v>
      </c>
      <c r="F172" s="7" t="str">
        <f>[165]Sheet2!$G$4</f>
        <v>Paraguay</v>
      </c>
      <c r="G172" s="7" t="str">
        <f>[165]Sheet2!$G$5</f>
        <v>Paraguay</v>
      </c>
      <c r="H172" s="7" t="str">
        <f>[165]Sheet2!$H$8</f>
        <v>2</v>
      </c>
      <c r="I172" s="7">
        <f t="shared" si="109"/>
        <v>2</v>
      </c>
      <c r="J172" s="15" t="e">
        <f>[165]Sheet2!$H$9</f>
        <v>#N/A</v>
      </c>
      <c r="K172" s="19">
        <f>[165]Sheet2!$D$9</f>
        <v>3.200448250232347</v>
      </c>
      <c r="L172" s="9">
        <f>[165]Sheet2!$D$7</f>
        <v>43923</v>
      </c>
      <c r="N172" s="8">
        <f t="shared" si="142"/>
        <v>9999</v>
      </c>
      <c r="O172" s="8">
        <f t="shared" si="143"/>
        <v>9999</v>
      </c>
      <c r="P172" s="8">
        <f t="shared" si="144"/>
        <v>-58.454000000000001</v>
      </c>
      <c r="Q172" s="8">
        <f t="shared" si="145"/>
        <v>-26.954999999999998</v>
      </c>
      <c r="R172" s="8">
        <f t="shared" si="146"/>
        <v>9999</v>
      </c>
      <c r="S172" s="8">
        <f t="shared" si="147"/>
        <v>9999</v>
      </c>
      <c r="T172" s="8">
        <f t="shared" si="148"/>
        <v>9999</v>
      </c>
      <c r="U172" s="8">
        <f t="shared" si="149"/>
        <v>9999</v>
      </c>
      <c r="V172" s="8">
        <f t="shared" si="140"/>
        <v>9999</v>
      </c>
      <c r="W172" s="8">
        <f t="shared" si="141"/>
        <v>9999</v>
      </c>
    </row>
    <row r="173" spans="1:23" x14ac:dyDescent="0.2">
      <c r="A173" s="7">
        <v>861</v>
      </c>
      <c r="B173" s="7"/>
      <c r="C173" s="8">
        <f>[166]Sheet2!$J$5</f>
        <v>-19.664999999999999</v>
      </c>
      <c r="D173" s="8">
        <f>[166]Sheet2!$J$4</f>
        <v>-57.554000000000002</v>
      </c>
      <c r="E173" s="7">
        <f>[166]Sheet2!$D$8</f>
        <v>1097.6834108411153</v>
      </c>
      <c r="F173" s="7" t="str">
        <f>[166]Sheet2!$G$4</f>
        <v>Paraguay</v>
      </c>
      <c r="G173" s="7" t="str">
        <f>[166]Sheet2!$G$5</f>
        <v>Brazil</v>
      </c>
      <c r="H173" s="7" t="str">
        <f>[166]Sheet2!$H$8</f>
        <v>1</v>
      </c>
      <c r="I173" s="7">
        <f t="shared" ref="I173:I204" si="150">VALUE(H173)</f>
        <v>1</v>
      </c>
      <c r="J173" s="15" t="e">
        <f>[166]Sheet2!$H$9</f>
        <v>#N/A</v>
      </c>
      <c r="K173" s="19">
        <f>[166]Sheet2!$D$9</f>
        <v>1.8443050084846133</v>
      </c>
      <c r="L173" s="9">
        <f>[166]Sheet2!$D$7</f>
        <v>43923</v>
      </c>
      <c r="N173" s="8">
        <f t="shared" si="142"/>
        <v>-57.554000000000002</v>
      </c>
      <c r="O173" s="8">
        <f t="shared" si="143"/>
        <v>-19.664999999999999</v>
      </c>
      <c r="P173" s="8">
        <f t="shared" si="144"/>
        <v>9999</v>
      </c>
      <c r="Q173" s="8">
        <f t="shared" si="145"/>
        <v>9999</v>
      </c>
      <c r="R173" s="8">
        <f t="shared" si="146"/>
        <v>9999</v>
      </c>
      <c r="S173" s="8">
        <f t="shared" si="147"/>
        <v>9999</v>
      </c>
      <c r="T173" s="8">
        <f t="shared" si="148"/>
        <v>9999</v>
      </c>
      <c r="U173" s="8">
        <f t="shared" si="149"/>
        <v>9999</v>
      </c>
      <c r="V173" s="8">
        <f t="shared" si="140"/>
        <v>9999</v>
      </c>
      <c r="W173" s="8">
        <f t="shared" si="141"/>
        <v>9999</v>
      </c>
    </row>
    <row r="174" spans="1:23" x14ac:dyDescent="0.2">
      <c r="A174" s="7">
        <v>863</v>
      </c>
      <c r="B174" s="7"/>
      <c r="C174" s="8">
        <f>[167]Sheet2!$J$5</f>
        <v>-19.305</v>
      </c>
      <c r="D174" s="8">
        <f>[167]Sheet2!$J$4</f>
        <v>-57.283999999999999</v>
      </c>
      <c r="E174" s="7">
        <f>[167]Sheet2!$D$8</f>
        <v>386.39940312942429</v>
      </c>
      <c r="F174" s="7" t="str">
        <f>[167]Sheet2!$G$4</f>
        <v>Paraguay</v>
      </c>
      <c r="G174" s="7" t="str">
        <f>[167]Sheet2!$G$5</f>
        <v>Brazil</v>
      </c>
      <c r="H174" s="7" t="str">
        <f>[167]Sheet2!$H$8</f>
        <v>2</v>
      </c>
      <c r="I174" s="7">
        <f t="shared" si="150"/>
        <v>2</v>
      </c>
      <c r="J174" s="15" t="e">
        <f>[167]Sheet2!$H$9</f>
        <v>#N/A</v>
      </c>
      <c r="K174" s="19">
        <f>[167]Sheet2!$D$9</f>
        <v>3.2923402391953918</v>
      </c>
      <c r="L174" s="9">
        <f>[167]Sheet2!$D$7</f>
        <v>43923</v>
      </c>
      <c r="N174" s="8">
        <f t="shared" si="142"/>
        <v>9999</v>
      </c>
      <c r="O174" s="8">
        <f t="shared" si="143"/>
        <v>9999</v>
      </c>
      <c r="P174" s="8">
        <f t="shared" si="144"/>
        <v>-57.283999999999999</v>
      </c>
      <c r="Q174" s="8">
        <f t="shared" si="145"/>
        <v>-19.305</v>
      </c>
      <c r="R174" s="8">
        <f t="shared" si="146"/>
        <v>9999</v>
      </c>
      <c r="S174" s="8">
        <f t="shared" si="147"/>
        <v>9999</v>
      </c>
      <c r="T174" s="8">
        <f t="shared" si="148"/>
        <v>9999</v>
      </c>
      <c r="U174" s="8">
        <f t="shared" si="149"/>
        <v>9999</v>
      </c>
      <c r="V174" s="8">
        <f t="shared" si="140"/>
        <v>9999</v>
      </c>
      <c r="W174" s="8">
        <f t="shared" si="141"/>
        <v>9999</v>
      </c>
    </row>
    <row r="175" spans="1:23" x14ac:dyDescent="0.2">
      <c r="A175" s="7">
        <v>864</v>
      </c>
      <c r="B175" s="7"/>
      <c r="C175" s="8">
        <f>[166]Sheet2!$J$5</f>
        <v>-19.664999999999999</v>
      </c>
      <c r="D175" s="8">
        <f>[166]Sheet2!$J$4</f>
        <v>-57.554000000000002</v>
      </c>
      <c r="E175" s="7">
        <f>[166]Sheet2!$D$8</f>
        <v>1097.6834108411153</v>
      </c>
      <c r="F175" s="7" t="str">
        <f>[168]Sheet2!$G$4</f>
        <v>Paraguay</v>
      </c>
      <c r="G175" s="7" t="str">
        <f>[168]Sheet2!$G$5</f>
        <v>Brazil</v>
      </c>
      <c r="H175" s="7" t="str">
        <f>[168]Sheet2!$H$8</f>
        <v>1</v>
      </c>
      <c r="I175" s="7">
        <f t="shared" si="150"/>
        <v>1</v>
      </c>
      <c r="J175" s="15" t="e">
        <f>[168]Sheet2!$H$9</f>
        <v>#N/A</v>
      </c>
      <c r="K175" s="19">
        <f>[168]Sheet2!$D$9</f>
        <v>0</v>
      </c>
      <c r="L175" s="9">
        <f>[168]Sheet2!$D$7</f>
        <v>43923</v>
      </c>
      <c r="N175" s="8">
        <f t="shared" si="142"/>
        <v>-57.554000000000002</v>
      </c>
      <c r="O175" s="8">
        <f t="shared" si="143"/>
        <v>-19.664999999999999</v>
      </c>
      <c r="P175" s="8">
        <f t="shared" si="144"/>
        <v>9999</v>
      </c>
      <c r="Q175" s="8">
        <f t="shared" si="145"/>
        <v>9999</v>
      </c>
      <c r="R175" s="8">
        <f t="shared" si="146"/>
        <v>9999</v>
      </c>
      <c r="S175" s="8">
        <f t="shared" si="147"/>
        <v>9999</v>
      </c>
      <c r="T175" s="8">
        <f t="shared" si="148"/>
        <v>9999</v>
      </c>
      <c r="U175" s="8">
        <f t="shared" si="149"/>
        <v>9999</v>
      </c>
      <c r="V175" s="8">
        <f t="shared" si="140"/>
        <v>9999</v>
      </c>
      <c r="W175" s="8">
        <f t="shared" si="141"/>
        <v>9999</v>
      </c>
    </row>
    <row r="176" spans="1:23" x14ac:dyDescent="0.2">
      <c r="A176" s="7">
        <v>865</v>
      </c>
      <c r="B176" s="7"/>
      <c r="C176" s="8">
        <f>[169]Sheet2!$J$5</f>
        <v>-18.405000000000001</v>
      </c>
      <c r="D176" s="8">
        <f>[169]Sheet2!$J$4</f>
        <v>-57.373999999999995</v>
      </c>
      <c r="E176" s="7">
        <f>[169]Sheet2!$D$8</f>
        <v>0</v>
      </c>
      <c r="F176" s="7" t="str">
        <f>[169]Sheet2!$G$4</f>
        <v>Paraguay</v>
      </c>
      <c r="G176" s="7" t="str">
        <f>[169]Sheet2!$G$5</f>
        <v>Brazil</v>
      </c>
      <c r="H176" s="7" t="str">
        <f>[169]Sheet2!$H$8</f>
        <v>1</v>
      </c>
      <c r="I176" s="7">
        <f t="shared" si="150"/>
        <v>1</v>
      </c>
      <c r="J176" s="15" t="e">
        <f>[169]Sheet2!$H$9</f>
        <v>#N/A</v>
      </c>
      <c r="K176" s="19">
        <f>[169]Sheet2!$D$9</f>
        <v>0</v>
      </c>
      <c r="L176" s="9">
        <f>[169]Sheet2!$D$7</f>
        <v>43923</v>
      </c>
      <c r="N176" s="8">
        <f t="shared" si="142"/>
        <v>-57.373999999999995</v>
      </c>
      <c r="O176" s="8">
        <f t="shared" si="143"/>
        <v>-18.405000000000001</v>
      </c>
      <c r="P176" s="8">
        <f t="shared" si="144"/>
        <v>9999</v>
      </c>
      <c r="Q176" s="8">
        <f t="shared" si="145"/>
        <v>9999</v>
      </c>
      <c r="R176" s="8">
        <f t="shared" si="146"/>
        <v>9999</v>
      </c>
      <c r="S176" s="8">
        <f t="shared" si="147"/>
        <v>9999</v>
      </c>
      <c r="T176" s="8">
        <f t="shared" si="148"/>
        <v>9999</v>
      </c>
      <c r="U176" s="8">
        <f t="shared" si="149"/>
        <v>9999</v>
      </c>
      <c r="V176" s="8">
        <f t="shared" si="140"/>
        <v>9999</v>
      </c>
      <c r="W176" s="8">
        <f t="shared" si="141"/>
        <v>9999</v>
      </c>
    </row>
    <row r="177" spans="1:23" x14ac:dyDescent="0.2">
      <c r="A177" s="7">
        <v>879</v>
      </c>
      <c r="B177" s="7"/>
      <c r="C177" s="8">
        <f>[170]Sheet2!$J$5</f>
        <v>69.164000000000001</v>
      </c>
      <c r="D177" s="8">
        <f>[170]Sheet2!$J$4</f>
        <v>-153.13400000000001</v>
      </c>
      <c r="E177" s="7">
        <f>[170]Sheet2!$D$8</f>
        <v>0</v>
      </c>
      <c r="F177" s="7" t="str">
        <f>[170]Sheet2!$G$4</f>
        <v>Coleville</v>
      </c>
      <c r="G177" s="7" t="str">
        <f>[170]Sheet2!$G$5</f>
        <v>USA</v>
      </c>
      <c r="H177" s="7" t="str">
        <f>[170]Sheet2!$H$8</f>
        <v>1</v>
      </c>
      <c r="I177" s="7">
        <f t="shared" si="150"/>
        <v>1</v>
      </c>
      <c r="J177" s="15" t="e">
        <f>[170]Sheet2!$H$9</f>
        <v>#N/A</v>
      </c>
      <c r="K177" s="19">
        <f>[170]Sheet2!$D$9</f>
        <v>0.21950216519835958</v>
      </c>
      <c r="L177" s="9">
        <f>[170]Sheet2!$D$7</f>
        <v>43923</v>
      </c>
      <c r="N177" s="8">
        <f t="shared" si="142"/>
        <v>-153.13400000000001</v>
      </c>
      <c r="O177" s="8">
        <f t="shared" si="143"/>
        <v>69.164000000000001</v>
      </c>
      <c r="P177" s="8">
        <f t="shared" si="144"/>
        <v>9999</v>
      </c>
      <c r="Q177" s="8">
        <f t="shared" si="145"/>
        <v>9999</v>
      </c>
      <c r="R177" s="8">
        <f t="shared" si="146"/>
        <v>9999</v>
      </c>
      <c r="S177" s="8">
        <f t="shared" si="147"/>
        <v>9999</v>
      </c>
      <c r="T177" s="8">
        <f t="shared" si="148"/>
        <v>9999</v>
      </c>
      <c r="U177" s="8">
        <f t="shared" si="149"/>
        <v>9999</v>
      </c>
      <c r="V177" s="8">
        <f t="shared" ref="V177:V178" si="151">IF($I177=0,$D177,9999)</f>
        <v>9999</v>
      </c>
      <c r="W177" s="8">
        <f t="shared" ref="W177:W178" si="152">IF($I177=0,$C177,9999)</f>
        <v>9999</v>
      </c>
    </row>
    <row r="178" spans="1:23" x14ac:dyDescent="0.2">
      <c r="A178" s="7">
        <v>881</v>
      </c>
      <c r="B178" s="7"/>
      <c r="C178" s="8">
        <f>[171]Sheet2!$J$5</f>
        <v>69.974000000000004</v>
      </c>
      <c r="D178" s="8">
        <f>[171]Sheet2!$J$4</f>
        <v>-148.72399999999999</v>
      </c>
      <c r="E178" s="7">
        <f>[171]Sheet2!$D$8</f>
        <v>56.095515235890851</v>
      </c>
      <c r="F178" s="7" t="str">
        <f>[171]Sheet2!$G$4</f>
        <v>Sagavanirktok</v>
      </c>
      <c r="G178" s="7" t="str">
        <f>[171]Sheet2!$G$5</f>
        <v>USA</v>
      </c>
      <c r="H178" s="7" t="str">
        <f>[171]Sheet2!$H$8</f>
        <v>2</v>
      </c>
      <c r="I178" s="7">
        <f t="shared" si="150"/>
        <v>2</v>
      </c>
      <c r="J178" s="15">
        <f>[171]Sheet2!$H$9</f>
        <v>2.0418296894721912</v>
      </c>
      <c r="K178" s="19">
        <f>[171]Sheet2!$D$9</f>
        <v>3.1072948492734156</v>
      </c>
      <c r="L178" s="9">
        <f>[171]Sheet2!$D$7</f>
        <v>43279</v>
      </c>
      <c r="N178" s="8">
        <f t="shared" si="142"/>
        <v>9999</v>
      </c>
      <c r="O178" s="8">
        <f t="shared" si="143"/>
        <v>9999</v>
      </c>
      <c r="P178" s="8">
        <f t="shared" si="144"/>
        <v>-148.72399999999999</v>
      </c>
      <c r="Q178" s="8">
        <f t="shared" si="145"/>
        <v>69.974000000000004</v>
      </c>
      <c r="R178" s="8">
        <f t="shared" si="146"/>
        <v>9999</v>
      </c>
      <c r="S178" s="8">
        <f t="shared" si="147"/>
        <v>9999</v>
      </c>
      <c r="T178" s="8">
        <f t="shared" si="148"/>
        <v>9999</v>
      </c>
      <c r="U178" s="8">
        <f t="shared" si="149"/>
        <v>9999</v>
      </c>
      <c r="V178" s="8">
        <f t="shared" si="151"/>
        <v>9999</v>
      </c>
      <c r="W178" s="8">
        <f t="shared" si="152"/>
        <v>9999</v>
      </c>
    </row>
    <row r="179" spans="1:23" x14ac:dyDescent="0.2">
      <c r="A179" s="7">
        <v>1045</v>
      </c>
      <c r="B179" s="7"/>
      <c r="C179" s="8">
        <f>[172]Sheet2!$J$5</f>
        <v>27.494</v>
      </c>
      <c r="D179" s="8">
        <f>[172]Sheet2!$J$4</f>
        <v>-100.664</v>
      </c>
      <c r="E179" s="21">
        <f>[172]Sheet2!$D$8</f>
        <v>0.90551274523116887</v>
      </c>
      <c r="F179" s="7" t="str">
        <f>[172]Sheet2!$G$4</f>
        <v>Sabinas Reservoir</v>
      </c>
      <c r="G179" s="7" t="str">
        <f>[172]Sheet2!$G$5</f>
        <v>Mexico</v>
      </c>
      <c r="H179" s="7" t="str">
        <f>[172]Sheet2!$H$8</f>
        <v>2</v>
      </c>
      <c r="I179" s="7">
        <f t="shared" si="150"/>
        <v>2</v>
      </c>
      <c r="J179" s="15"/>
      <c r="K179" s="19"/>
      <c r="L179" s="9">
        <f>[172]Sheet2!$D$7</f>
        <v>43922</v>
      </c>
      <c r="N179" s="8">
        <f t="shared" ref="N179:N195" si="153">IF($I179=1,$D179,9999)</f>
        <v>9999</v>
      </c>
      <c r="O179" s="8">
        <f t="shared" ref="O179:O195" si="154">IF($I179=1,$C179,9999)</f>
        <v>9999</v>
      </c>
      <c r="P179" s="8">
        <f t="shared" ref="P179:P195" si="155">IF($I179=2,$D179,9999)</f>
        <v>-100.664</v>
      </c>
      <c r="Q179" s="8">
        <f t="shared" ref="Q179:Q195" si="156">IF($I179=2,$C179,9999)</f>
        <v>27.494</v>
      </c>
      <c r="R179" s="8">
        <f t="shared" ref="R179:R195" si="157">IF($I179=3,$D179,9999)</f>
        <v>9999</v>
      </c>
      <c r="S179" s="8">
        <f t="shared" ref="S179:S195" si="158">IF($I179=3,$C179,9999)</f>
        <v>9999</v>
      </c>
      <c r="T179" s="8">
        <f t="shared" ref="T179:T195" si="159">IF($I179=4,$D179,9999)</f>
        <v>9999</v>
      </c>
      <c r="U179" s="8">
        <f t="shared" ref="U179:U195" si="160">IF($I179=4,$C179,9999)</f>
        <v>9999</v>
      </c>
      <c r="V179" s="8">
        <f t="shared" ref="V179:V181" si="161">IF($I179=0,$D179,9999)</f>
        <v>9999</v>
      </c>
      <c r="W179" s="8">
        <f t="shared" ref="W179:W181" si="162">IF($I179=0,$C179,9999)</f>
        <v>9999</v>
      </c>
    </row>
    <row r="180" spans="1:23" x14ac:dyDescent="0.2">
      <c r="A180" s="7">
        <v>1052</v>
      </c>
      <c r="B180" s="7"/>
      <c r="C180" s="8">
        <f>[173]Sheet2!$J$5</f>
        <v>18.043999999999997</v>
      </c>
      <c r="D180" s="8">
        <f>[173]Sheet2!$J$4</f>
        <v>-92.924000000000007</v>
      </c>
      <c r="E180" s="7">
        <f>[173]Sheet2!$D$8</f>
        <v>280.77058577997713</v>
      </c>
      <c r="F180" s="7" t="str">
        <f>[173]Sheet2!$G$4</f>
        <v>Grijalva</v>
      </c>
      <c r="G180" s="7" t="str">
        <f>[173]Sheet2!$G$5</f>
        <v>Mexico</v>
      </c>
      <c r="H180" s="7" t="str">
        <f>[173]Sheet2!$H$8</f>
        <v>2</v>
      </c>
      <c r="I180" s="7">
        <f t="shared" si="150"/>
        <v>2</v>
      </c>
      <c r="J180" s="15" t="e">
        <f>[173]Sheet2!$H$9</f>
        <v>#N/A</v>
      </c>
      <c r="K180" s="19">
        <f>[173]Sheet2!$D$9</f>
        <v>28.967984632709211</v>
      </c>
      <c r="L180" s="9">
        <f>[173]Sheet2!$D$7</f>
        <v>43922</v>
      </c>
      <c r="N180" s="8">
        <f t="shared" si="153"/>
        <v>9999</v>
      </c>
      <c r="O180" s="8">
        <f t="shared" si="154"/>
        <v>9999</v>
      </c>
      <c r="P180" s="8">
        <f t="shared" si="155"/>
        <v>-92.924000000000007</v>
      </c>
      <c r="Q180" s="8">
        <f t="shared" si="156"/>
        <v>18.043999999999997</v>
      </c>
      <c r="R180" s="8">
        <f t="shared" si="157"/>
        <v>9999</v>
      </c>
      <c r="S180" s="8">
        <f t="shared" si="158"/>
        <v>9999</v>
      </c>
      <c r="T180" s="8">
        <f t="shared" si="159"/>
        <v>9999</v>
      </c>
      <c r="U180" s="8">
        <f t="shared" si="160"/>
        <v>9999</v>
      </c>
      <c r="V180" s="8">
        <f t="shared" si="161"/>
        <v>9999</v>
      </c>
      <c r="W180" s="8">
        <f t="shared" si="162"/>
        <v>9999</v>
      </c>
    </row>
    <row r="181" spans="1:23" x14ac:dyDescent="0.2">
      <c r="A181" s="7">
        <v>1058</v>
      </c>
      <c r="B181" s="7"/>
      <c r="C181" s="8">
        <f>[174]Sheet2!$J$5</f>
        <v>14.714</v>
      </c>
      <c r="D181" s="8">
        <f>[174]Sheet2!$J$4</f>
        <v>-92.024000000000001</v>
      </c>
      <c r="E181" s="7">
        <f>[174]Sheet2!$D$8</f>
        <v>53.311826437116721</v>
      </c>
      <c r="F181" s="7" t="str">
        <f>[174]Sheet2!$G$4</f>
        <v>Naranjo</v>
      </c>
      <c r="G181" s="7" t="str">
        <f>[174]Sheet2!$G$5</f>
        <v>Guatemala</v>
      </c>
      <c r="H181" s="7" t="str">
        <f>[174]Sheet2!$H$8</f>
        <v>2</v>
      </c>
      <c r="I181" s="7">
        <f t="shared" si="150"/>
        <v>2</v>
      </c>
      <c r="J181" s="15" t="e">
        <f>[174]Sheet2!$H$9</f>
        <v>#N/A</v>
      </c>
      <c r="K181" s="19">
        <f>[174]Sheet2!$D$9</f>
        <v>17.097687951221172</v>
      </c>
      <c r="L181" s="9">
        <f>[174]Sheet2!$D$7</f>
        <v>43923</v>
      </c>
      <c r="N181" s="8">
        <f t="shared" si="153"/>
        <v>9999</v>
      </c>
      <c r="O181" s="8">
        <f t="shared" si="154"/>
        <v>9999</v>
      </c>
      <c r="P181" s="8">
        <f t="shared" si="155"/>
        <v>-92.024000000000001</v>
      </c>
      <c r="Q181" s="8">
        <f t="shared" si="156"/>
        <v>14.714</v>
      </c>
      <c r="R181" s="8">
        <f t="shared" si="157"/>
        <v>9999</v>
      </c>
      <c r="S181" s="8">
        <f t="shared" si="158"/>
        <v>9999</v>
      </c>
      <c r="T181" s="8">
        <f t="shared" si="159"/>
        <v>9999</v>
      </c>
      <c r="U181" s="8">
        <f t="shared" si="160"/>
        <v>9999</v>
      </c>
      <c r="V181" s="8">
        <f t="shared" si="161"/>
        <v>9999</v>
      </c>
      <c r="W181" s="8">
        <f t="shared" si="162"/>
        <v>9999</v>
      </c>
    </row>
    <row r="182" spans="1:23" x14ac:dyDescent="0.2">
      <c r="A182" s="7">
        <v>1064</v>
      </c>
      <c r="B182" s="7"/>
      <c r="C182" s="8">
        <f>[175]Sheet2!$J$5</f>
        <v>7.0640000000000001</v>
      </c>
      <c r="D182" s="8">
        <f>[175]Sheet2!$J$4</f>
        <v>-69.433999999999997</v>
      </c>
      <c r="E182" s="7"/>
      <c r="F182" s="7" t="str">
        <f>[175]Sheet2!$G$4</f>
        <v>Arauca</v>
      </c>
      <c r="G182" s="7" t="str">
        <f>[175]Sheet2!$G$5</f>
        <v>Venezuela</v>
      </c>
      <c r="H182" s="7" t="str">
        <f>[175]Sheet2!$H$8</f>
        <v>1</v>
      </c>
      <c r="I182" s="7">
        <f t="shared" si="150"/>
        <v>1</v>
      </c>
      <c r="J182" s="15" t="e">
        <f>[175]Sheet2!$H$9</f>
        <v>#N/A</v>
      </c>
      <c r="K182" s="19">
        <f>[175]Sheet2!$D$9</f>
        <v>4.5382395870525727</v>
      </c>
      <c r="L182" s="9">
        <f>[175]Sheet2!$D$7</f>
        <v>43923</v>
      </c>
      <c r="N182" s="8">
        <f t="shared" si="153"/>
        <v>-69.433999999999997</v>
      </c>
      <c r="O182" s="8">
        <f t="shared" si="154"/>
        <v>7.0640000000000001</v>
      </c>
      <c r="P182" s="8">
        <f t="shared" si="155"/>
        <v>9999</v>
      </c>
      <c r="Q182" s="8">
        <f t="shared" si="156"/>
        <v>9999</v>
      </c>
      <c r="R182" s="8">
        <f t="shared" si="157"/>
        <v>9999</v>
      </c>
      <c r="S182" s="8">
        <f t="shared" si="158"/>
        <v>9999</v>
      </c>
      <c r="T182" s="8">
        <f t="shared" si="159"/>
        <v>9999</v>
      </c>
      <c r="U182" s="8">
        <f t="shared" si="160"/>
        <v>9999</v>
      </c>
      <c r="V182" s="8">
        <f t="shared" ref="V182:V198" si="163">IF($I182=0,$D182,9999)</f>
        <v>9999</v>
      </c>
      <c r="W182" s="8">
        <f t="shared" ref="W182:W198" si="164">IF($I182=0,$C182,9999)</f>
        <v>9999</v>
      </c>
    </row>
    <row r="183" spans="1:23" x14ac:dyDescent="0.2">
      <c r="A183" s="7">
        <v>1067</v>
      </c>
      <c r="B183" s="7"/>
      <c r="C183" s="8">
        <f>[176]Sheet2!$J$5</f>
        <v>6.6139999999999999</v>
      </c>
      <c r="D183" s="8">
        <f>[176]Sheet2!$J$4</f>
        <v>-67.093999999999994</v>
      </c>
      <c r="E183" s="7">
        <f>[176]Sheet2!$D$8</f>
        <v>1747.7721231123178</v>
      </c>
      <c r="F183" s="7" t="str">
        <f>[176]Sheet2!$G$4</f>
        <v>Orinoco</v>
      </c>
      <c r="G183" s="7" t="str">
        <f>[176]Sheet2!$G$5</f>
        <v>Venezuela</v>
      </c>
      <c r="H183" s="7" t="str">
        <f>[176]Sheet2!$H$8</f>
        <v>1</v>
      </c>
      <c r="I183" s="7">
        <f t="shared" si="150"/>
        <v>1</v>
      </c>
      <c r="J183" s="15" t="e">
        <f>[176]Sheet2!$H$9</f>
        <v>#N/A</v>
      </c>
      <c r="K183" s="19">
        <f>[176]Sheet2!$D$9</f>
        <v>2.7196998630944442</v>
      </c>
      <c r="L183" s="9">
        <f>[176]Sheet2!$D$7</f>
        <v>43923</v>
      </c>
      <c r="N183" s="8">
        <f t="shared" si="153"/>
        <v>-67.093999999999994</v>
      </c>
      <c r="O183" s="8">
        <f t="shared" si="154"/>
        <v>6.6139999999999999</v>
      </c>
      <c r="P183" s="8">
        <f t="shared" si="155"/>
        <v>9999</v>
      </c>
      <c r="Q183" s="8">
        <f t="shared" si="156"/>
        <v>9999</v>
      </c>
      <c r="R183" s="8">
        <f t="shared" si="157"/>
        <v>9999</v>
      </c>
      <c r="S183" s="8">
        <f t="shared" si="158"/>
        <v>9999</v>
      </c>
      <c r="T183" s="8">
        <f t="shared" si="159"/>
        <v>9999</v>
      </c>
      <c r="U183" s="8">
        <f t="shared" si="160"/>
        <v>9999</v>
      </c>
      <c r="V183" s="8">
        <f t="shared" si="163"/>
        <v>9999</v>
      </c>
      <c r="W183" s="8">
        <f t="shared" si="164"/>
        <v>9999</v>
      </c>
    </row>
    <row r="184" spans="1:23" x14ac:dyDescent="0.2">
      <c r="A184" s="7">
        <v>1075</v>
      </c>
      <c r="B184" s="7"/>
      <c r="C184" s="8">
        <f>[177]Sheet2!$J$5</f>
        <v>2.8340000000000001</v>
      </c>
      <c r="D184" s="8">
        <f>[177]Sheet2!$J$4</f>
        <v>-72.224000000000004</v>
      </c>
      <c r="E184" s="7">
        <f>[177]Sheet2!$D$8</f>
        <v>560.00757410537835</v>
      </c>
      <c r="F184" s="7" t="str">
        <f>[177]Sheet2!$G$4</f>
        <v>Guviare</v>
      </c>
      <c r="G184" s="7" t="str">
        <f>[177]Sheet2!$G$5</f>
        <v>Colombia</v>
      </c>
      <c r="H184" s="7" t="str">
        <f>[177]Sheet2!$H$8</f>
        <v>1</v>
      </c>
      <c r="I184" s="7">
        <f t="shared" si="150"/>
        <v>1</v>
      </c>
      <c r="J184" s="15" t="e">
        <f>[177]Sheet2!$H$9</f>
        <v>#N/A</v>
      </c>
      <c r="K184" s="19">
        <f>[177]Sheet2!$D$9</f>
        <v>10.303786462810971</v>
      </c>
      <c r="L184" s="9">
        <f>[177]Sheet2!$D$7</f>
        <v>43923</v>
      </c>
      <c r="N184" s="8">
        <f t="shared" si="153"/>
        <v>-72.224000000000004</v>
      </c>
      <c r="O184" s="8">
        <f t="shared" si="154"/>
        <v>2.8340000000000001</v>
      </c>
      <c r="P184" s="8">
        <f t="shared" si="155"/>
        <v>9999</v>
      </c>
      <c r="Q184" s="8">
        <f t="shared" si="156"/>
        <v>9999</v>
      </c>
      <c r="R184" s="8">
        <f t="shared" si="157"/>
        <v>9999</v>
      </c>
      <c r="S184" s="8">
        <f t="shared" si="158"/>
        <v>9999</v>
      </c>
      <c r="T184" s="8">
        <f t="shared" si="159"/>
        <v>9999</v>
      </c>
      <c r="U184" s="8">
        <f t="shared" si="160"/>
        <v>9999</v>
      </c>
      <c r="V184" s="8">
        <f t="shared" si="163"/>
        <v>9999</v>
      </c>
      <c r="W184" s="8">
        <f t="shared" si="164"/>
        <v>9999</v>
      </c>
    </row>
    <row r="185" spans="1:23" x14ac:dyDescent="0.2">
      <c r="A185" s="7">
        <v>1076</v>
      </c>
      <c r="B185" s="7"/>
      <c r="C185" s="8">
        <f>[178]Sheet2!$J$5</f>
        <v>5.5339999999999998</v>
      </c>
      <c r="D185" s="8">
        <f>[178]Sheet2!$J$4</f>
        <v>-70.334000000000003</v>
      </c>
      <c r="E185" s="7">
        <f>[178]Sheet2!$D$8</f>
        <v>16.911060736324544</v>
      </c>
      <c r="F185" s="7" t="str">
        <f>[178]Sheet2!$G$4</f>
        <v>Meta</v>
      </c>
      <c r="G185" s="7" t="str">
        <f>[178]Sheet2!$G$5</f>
        <v>Colombia</v>
      </c>
      <c r="H185" s="7" t="str">
        <f>[178]Sheet2!$H$8</f>
        <v>1</v>
      </c>
      <c r="I185" s="7">
        <f t="shared" si="150"/>
        <v>1</v>
      </c>
      <c r="J185" s="15" t="e">
        <f>[178]Sheet2!$H$9</f>
        <v>#N/A</v>
      </c>
      <c r="K185" s="19">
        <f>[178]Sheet2!$D$9</f>
        <v>5.8668793576188996E-2</v>
      </c>
      <c r="L185" s="9">
        <f>[178]Sheet2!$D$7</f>
        <v>43923</v>
      </c>
      <c r="N185" s="8">
        <f t="shared" si="153"/>
        <v>-70.334000000000003</v>
      </c>
      <c r="O185" s="8">
        <f t="shared" si="154"/>
        <v>5.5339999999999998</v>
      </c>
      <c r="P185" s="8">
        <f t="shared" si="155"/>
        <v>9999</v>
      </c>
      <c r="Q185" s="8">
        <f t="shared" si="156"/>
        <v>9999</v>
      </c>
      <c r="R185" s="8">
        <f t="shared" si="157"/>
        <v>9999</v>
      </c>
      <c r="S185" s="8">
        <f t="shared" si="158"/>
        <v>9999</v>
      </c>
      <c r="T185" s="8">
        <f t="shared" si="159"/>
        <v>9999</v>
      </c>
      <c r="U185" s="8">
        <f t="shared" si="160"/>
        <v>9999</v>
      </c>
      <c r="V185" s="8">
        <f t="shared" si="163"/>
        <v>9999</v>
      </c>
      <c r="W185" s="8">
        <f t="shared" si="164"/>
        <v>9999</v>
      </c>
    </row>
    <row r="186" spans="1:23" x14ac:dyDescent="0.2">
      <c r="A186" s="7">
        <v>1077</v>
      </c>
      <c r="B186" s="7"/>
      <c r="C186" s="8">
        <f>[179]Sheet2!$J$5</f>
        <v>-1.125</v>
      </c>
      <c r="D186" s="8">
        <f>[179]Sheet2!$J$4</f>
        <v>-75.013999999999996</v>
      </c>
      <c r="E186" s="7">
        <f>[179]Sheet2!$D$8</f>
        <v>4656.6553364953816</v>
      </c>
      <c r="F186" s="7" t="str">
        <f>[179]Sheet2!$G$4</f>
        <v>Napo</v>
      </c>
      <c r="G186" s="7" t="str">
        <f>[179]Sheet2!$G$5</f>
        <v>Peru</v>
      </c>
      <c r="H186" s="7" t="str">
        <f>[179]Sheet2!$H$8</f>
        <v>3</v>
      </c>
      <c r="I186" s="7">
        <f t="shared" si="150"/>
        <v>3</v>
      </c>
      <c r="J186" s="15" t="e">
        <f>[179]Sheet2!$H$9</f>
        <v>#N/A</v>
      </c>
      <c r="K186" s="19">
        <f>[179]Sheet2!$D$9</f>
        <v>65.209957067782199</v>
      </c>
      <c r="L186" s="9">
        <f>[179]Sheet2!$D$7</f>
        <v>43923</v>
      </c>
      <c r="N186" s="8">
        <f t="shared" si="153"/>
        <v>9999</v>
      </c>
      <c r="O186" s="8">
        <f t="shared" si="154"/>
        <v>9999</v>
      </c>
      <c r="P186" s="8">
        <f t="shared" si="155"/>
        <v>9999</v>
      </c>
      <c r="Q186" s="8">
        <f t="shared" si="156"/>
        <v>9999</v>
      </c>
      <c r="R186" s="8">
        <f t="shared" si="157"/>
        <v>-75.013999999999996</v>
      </c>
      <c r="S186" s="8">
        <f t="shared" si="158"/>
        <v>-1.125</v>
      </c>
      <c r="T186" s="8">
        <f t="shared" si="159"/>
        <v>9999</v>
      </c>
      <c r="U186" s="8">
        <f t="shared" si="160"/>
        <v>9999</v>
      </c>
      <c r="V186" s="8">
        <f t="shared" si="163"/>
        <v>9999</v>
      </c>
      <c r="W186" s="8">
        <f t="shared" si="164"/>
        <v>9999</v>
      </c>
    </row>
    <row r="187" spans="1:23" x14ac:dyDescent="0.2">
      <c r="A187" s="7">
        <v>1079</v>
      </c>
      <c r="B187" s="7"/>
      <c r="C187" s="8">
        <f>[180]Sheet2!$J$5</f>
        <v>-6.2549999999999999</v>
      </c>
      <c r="D187" s="8">
        <f>[180]Sheet2!$J$4</f>
        <v>-68.174000000000007</v>
      </c>
      <c r="E187" s="7">
        <f>[180]Sheet2!$D$8</f>
        <v>4022.0894228881052</v>
      </c>
      <c r="F187" s="7" t="str">
        <f>[180]Sheet2!$G$4</f>
        <v>Jurua</v>
      </c>
      <c r="G187" s="7" t="str">
        <f>[180]Sheet2!$G$5</f>
        <v>Brazil</v>
      </c>
      <c r="H187" s="7" t="str">
        <f>[180]Sheet2!$H$8</f>
        <v>1</v>
      </c>
      <c r="I187" s="7">
        <f t="shared" si="150"/>
        <v>1</v>
      </c>
      <c r="J187" s="15" t="e">
        <f>[180]Sheet2!$H$9</f>
        <v>#N/A</v>
      </c>
      <c r="K187" s="19">
        <f>[180]Sheet2!$D$9</f>
        <v>15.033084073739511</v>
      </c>
      <c r="L187" s="9">
        <f>[180]Sheet2!$D$7</f>
        <v>43921</v>
      </c>
      <c r="N187" s="8">
        <f t="shared" si="153"/>
        <v>-68.174000000000007</v>
      </c>
      <c r="O187" s="8">
        <f t="shared" si="154"/>
        <v>-6.2549999999999999</v>
      </c>
      <c r="P187" s="8">
        <f t="shared" si="155"/>
        <v>9999</v>
      </c>
      <c r="Q187" s="8">
        <f t="shared" si="156"/>
        <v>9999</v>
      </c>
      <c r="R187" s="8">
        <f t="shared" si="157"/>
        <v>9999</v>
      </c>
      <c r="S187" s="8">
        <f t="shared" si="158"/>
        <v>9999</v>
      </c>
      <c r="T187" s="8">
        <f t="shared" si="159"/>
        <v>9999</v>
      </c>
      <c r="U187" s="8">
        <f t="shared" si="160"/>
        <v>9999</v>
      </c>
      <c r="V187" s="8">
        <f t="shared" si="163"/>
        <v>9999</v>
      </c>
      <c r="W187" s="8">
        <f t="shared" si="164"/>
        <v>9999</v>
      </c>
    </row>
    <row r="188" spans="1:23" x14ac:dyDescent="0.2">
      <c r="A188" s="7">
        <v>1081</v>
      </c>
      <c r="B188" s="7"/>
      <c r="C188" s="8">
        <f>[181]Sheet2!$J$5</f>
        <v>-4.6349999999999998</v>
      </c>
      <c r="D188" s="8">
        <f>[181]Sheet2!$J$4</f>
        <v>-74.834000000000003</v>
      </c>
      <c r="E188" s="7">
        <f>[181]Sheet2!$D$8</f>
        <v>10341.016059437128</v>
      </c>
      <c r="F188" s="7" t="str">
        <f>[181]Sheet2!$G$4</f>
        <v>Maranon</v>
      </c>
      <c r="G188" s="7" t="str">
        <f>[181]Sheet2!$G$5</f>
        <v>Peru</v>
      </c>
      <c r="H188" s="7" t="str">
        <f>[181]Sheet2!$H$8</f>
        <v>2</v>
      </c>
      <c r="I188" s="7">
        <f t="shared" si="150"/>
        <v>2</v>
      </c>
      <c r="J188" s="15" t="e">
        <f>[181]Sheet2!$H$9</f>
        <v>#N/A</v>
      </c>
      <c r="K188" s="19">
        <f>[181]Sheet2!$D$9</f>
        <v>23.533226653231601</v>
      </c>
      <c r="L188" s="9">
        <f>[181]Sheet2!$D$7</f>
        <v>43923</v>
      </c>
      <c r="N188" s="8">
        <f t="shared" si="153"/>
        <v>9999</v>
      </c>
      <c r="O188" s="8">
        <f t="shared" si="154"/>
        <v>9999</v>
      </c>
      <c r="P188" s="8">
        <f t="shared" si="155"/>
        <v>-74.834000000000003</v>
      </c>
      <c r="Q188" s="8">
        <f t="shared" si="156"/>
        <v>-4.6349999999999998</v>
      </c>
      <c r="R188" s="8">
        <f t="shared" si="157"/>
        <v>9999</v>
      </c>
      <c r="S188" s="8">
        <f t="shared" si="158"/>
        <v>9999</v>
      </c>
      <c r="T188" s="8">
        <f t="shared" si="159"/>
        <v>9999</v>
      </c>
      <c r="U188" s="8">
        <f t="shared" si="160"/>
        <v>9999</v>
      </c>
      <c r="V188" s="8">
        <f t="shared" si="163"/>
        <v>9999</v>
      </c>
      <c r="W188" s="8">
        <f t="shared" si="164"/>
        <v>9999</v>
      </c>
    </row>
    <row r="189" spans="1:23" x14ac:dyDescent="0.2">
      <c r="A189" s="7">
        <v>1083</v>
      </c>
      <c r="B189" s="7"/>
      <c r="C189" s="8">
        <f>[182]Sheet2!$J$5</f>
        <v>-8.3249999999999993</v>
      </c>
      <c r="D189" s="8">
        <f>[182]Sheet2!$J$4</f>
        <v>-74.474000000000004</v>
      </c>
      <c r="E189" s="7">
        <f>[182]Sheet2!$D$8</f>
        <v>12867.398866477566</v>
      </c>
      <c r="F189" s="7" t="str">
        <f>[182]Sheet2!$G$4</f>
        <v>Ucayali</v>
      </c>
      <c r="G189" s="7" t="str">
        <f>[182]Sheet2!$G$5</f>
        <v>Peru</v>
      </c>
      <c r="H189" s="7" t="str">
        <f>[182]Sheet2!$H$8</f>
        <v>3</v>
      </c>
      <c r="I189" s="7">
        <f t="shared" si="150"/>
        <v>3</v>
      </c>
      <c r="J189" s="15" t="e">
        <f>[182]Sheet2!$H$9</f>
        <v>#N/A</v>
      </c>
      <c r="K189" s="19">
        <f>[182]Sheet2!$D$9</f>
        <v>26.222444043013525</v>
      </c>
      <c r="L189" s="9">
        <f>[182]Sheet2!$D$7</f>
        <v>43923</v>
      </c>
      <c r="N189" s="8">
        <f t="shared" si="153"/>
        <v>9999</v>
      </c>
      <c r="O189" s="8">
        <f t="shared" si="154"/>
        <v>9999</v>
      </c>
      <c r="P189" s="8">
        <f t="shared" si="155"/>
        <v>9999</v>
      </c>
      <c r="Q189" s="8">
        <f t="shared" si="156"/>
        <v>9999</v>
      </c>
      <c r="R189" s="8">
        <f t="shared" si="157"/>
        <v>-74.474000000000004</v>
      </c>
      <c r="S189" s="8">
        <f t="shared" si="158"/>
        <v>-8.3249999999999993</v>
      </c>
      <c r="T189" s="8">
        <f t="shared" si="159"/>
        <v>9999</v>
      </c>
      <c r="U189" s="8">
        <f t="shared" si="160"/>
        <v>9999</v>
      </c>
      <c r="V189" s="8">
        <f t="shared" si="163"/>
        <v>9999</v>
      </c>
      <c r="W189" s="8">
        <f t="shared" si="164"/>
        <v>9999</v>
      </c>
    </row>
    <row r="190" spans="1:23" x14ac:dyDescent="0.2">
      <c r="A190" s="7">
        <v>1084</v>
      </c>
      <c r="B190" s="7"/>
      <c r="C190" s="8">
        <f>[183]Sheet2!$J$5</f>
        <v>-8.5950000000000006</v>
      </c>
      <c r="D190" s="8">
        <f>[183]Sheet2!$J$4</f>
        <v>-74.384</v>
      </c>
      <c r="E190" s="7">
        <f>[183]Sheet2!$D$8</f>
        <v>7128.0045668667144</v>
      </c>
      <c r="F190" s="7" t="str">
        <f>[183]Sheet2!$G$4</f>
        <v>Ucayali</v>
      </c>
      <c r="G190" s="7" t="str">
        <f>[183]Sheet2!$G$5</f>
        <v>Peru</v>
      </c>
      <c r="H190" s="7" t="str">
        <f>[183]Sheet2!$H$8</f>
        <v>2</v>
      </c>
      <c r="I190" s="7">
        <f t="shared" si="150"/>
        <v>2</v>
      </c>
      <c r="J190" s="15" t="e">
        <f>[183]Sheet2!$H$9</f>
        <v>#N/A</v>
      </c>
      <c r="K190" s="19">
        <f>[183]Sheet2!$D$9</f>
        <v>16.892952599963003</v>
      </c>
      <c r="L190" s="9">
        <f>[183]Sheet2!$D$7</f>
        <v>43923</v>
      </c>
      <c r="N190" s="8">
        <f t="shared" si="153"/>
        <v>9999</v>
      </c>
      <c r="O190" s="8">
        <f t="shared" si="154"/>
        <v>9999</v>
      </c>
      <c r="P190" s="8">
        <f t="shared" si="155"/>
        <v>-74.384</v>
      </c>
      <c r="Q190" s="8">
        <f t="shared" si="156"/>
        <v>-8.5950000000000006</v>
      </c>
      <c r="R190" s="8">
        <f t="shared" si="157"/>
        <v>9999</v>
      </c>
      <c r="S190" s="8">
        <f t="shared" si="158"/>
        <v>9999</v>
      </c>
      <c r="T190" s="8">
        <f t="shared" si="159"/>
        <v>9999</v>
      </c>
      <c r="U190" s="8">
        <f t="shared" si="160"/>
        <v>9999</v>
      </c>
      <c r="V190" s="8">
        <f t="shared" si="163"/>
        <v>9999</v>
      </c>
      <c r="W190" s="8">
        <f t="shared" si="164"/>
        <v>9999</v>
      </c>
    </row>
    <row r="191" spans="1:23" x14ac:dyDescent="0.2">
      <c r="A191" s="7">
        <v>1086</v>
      </c>
      <c r="B191" s="7"/>
      <c r="C191" s="8">
        <f>[184]Sheet2!$J$5</f>
        <v>-5.1749999999999998</v>
      </c>
      <c r="D191" s="8">
        <f>[184]Sheet2!$J$4</f>
        <v>-74.114000000000004</v>
      </c>
      <c r="E191" s="7">
        <f>[184]Sheet2!$D$8</f>
        <v>11253.003560859837</v>
      </c>
      <c r="F191" s="7" t="str">
        <f>[184]Sheet2!$G$4</f>
        <v>Ucayali</v>
      </c>
      <c r="G191" s="7" t="str">
        <f>[184]Sheet2!$G$5</f>
        <v>Peru</v>
      </c>
      <c r="H191" s="7" t="str">
        <f>[184]Sheet2!$H$8</f>
        <v>2</v>
      </c>
      <c r="I191" s="7">
        <f t="shared" si="150"/>
        <v>2</v>
      </c>
      <c r="J191" s="15" t="e">
        <f>[184]Sheet2!$H$9</f>
        <v>#N/A</v>
      </c>
      <c r="K191" s="19">
        <f>[184]Sheet2!$D$9</f>
        <v>24.855050392130714</v>
      </c>
      <c r="L191" s="9">
        <f>[184]Sheet2!$D$7</f>
        <v>43923</v>
      </c>
      <c r="N191" s="8">
        <f t="shared" si="153"/>
        <v>9999</v>
      </c>
      <c r="O191" s="8">
        <f t="shared" si="154"/>
        <v>9999</v>
      </c>
      <c r="P191" s="8">
        <f t="shared" si="155"/>
        <v>-74.114000000000004</v>
      </c>
      <c r="Q191" s="8">
        <f t="shared" si="156"/>
        <v>-5.1749999999999998</v>
      </c>
      <c r="R191" s="8">
        <f t="shared" si="157"/>
        <v>9999</v>
      </c>
      <c r="S191" s="8">
        <f t="shared" si="158"/>
        <v>9999</v>
      </c>
      <c r="T191" s="8">
        <f t="shared" si="159"/>
        <v>9999</v>
      </c>
      <c r="U191" s="8">
        <f t="shared" si="160"/>
        <v>9999</v>
      </c>
      <c r="V191" s="8">
        <f t="shared" si="163"/>
        <v>9999</v>
      </c>
      <c r="W191" s="8">
        <f t="shared" si="164"/>
        <v>9999</v>
      </c>
    </row>
    <row r="192" spans="1:23" x14ac:dyDescent="0.2">
      <c r="A192" s="7">
        <v>1088</v>
      </c>
      <c r="B192" s="7"/>
      <c r="C192" s="8">
        <f>[185]Sheet2!$J$5</f>
        <v>-7.6050000000000004</v>
      </c>
      <c r="D192" s="8">
        <f>[185]Sheet2!$J$4</f>
        <v>-62.954000000000001</v>
      </c>
      <c r="E192" s="7">
        <f>[185]Sheet2!$D$8</f>
        <v>31344.591670984839</v>
      </c>
      <c r="F192" s="7" t="str">
        <f>[185]Sheet2!$G$4</f>
        <v>Madeira</v>
      </c>
      <c r="G192" s="7" t="str">
        <f>[185]Sheet2!$G$5</f>
        <v>Brazil</v>
      </c>
      <c r="H192" s="7" t="str">
        <f>[185]Sheet2!$H$8</f>
        <v>2</v>
      </c>
      <c r="I192" s="7">
        <f t="shared" si="150"/>
        <v>2</v>
      </c>
      <c r="J192" s="15" t="e">
        <f>[185]Sheet2!$H$9</f>
        <v>#N/A</v>
      </c>
      <c r="K192" s="19">
        <f>[185]Sheet2!$D$9</f>
        <v>16.515305245759553</v>
      </c>
      <c r="L192" s="9">
        <f>[185]Sheet2!$D$7</f>
        <v>43922</v>
      </c>
      <c r="N192" s="8">
        <f t="shared" si="153"/>
        <v>9999</v>
      </c>
      <c r="O192" s="8">
        <f t="shared" si="154"/>
        <v>9999</v>
      </c>
      <c r="P192" s="8">
        <f t="shared" si="155"/>
        <v>-62.954000000000001</v>
      </c>
      <c r="Q192" s="8">
        <f t="shared" si="156"/>
        <v>-7.6050000000000004</v>
      </c>
      <c r="R192" s="8">
        <f t="shared" si="157"/>
        <v>9999</v>
      </c>
      <c r="S192" s="8">
        <f t="shared" si="158"/>
        <v>9999</v>
      </c>
      <c r="T192" s="8">
        <f t="shared" si="159"/>
        <v>9999</v>
      </c>
      <c r="U192" s="8">
        <f t="shared" si="160"/>
        <v>9999</v>
      </c>
      <c r="V192" s="8">
        <f t="shared" si="163"/>
        <v>9999</v>
      </c>
      <c r="W192" s="8">
        <f t="shared" si="164"/>
        <v>9999</v>
      </c>
    </row>
    <row r="193" spans="1:23" x14ac:dyDescent="0.2">
      <c r="A193" s="7">
        <v>1089</v>
      </c>
      <c r="B193" s="7"/>
      <c r="C193" s="8">
        <f>[186]Sheet2!$J$5</f>
        <v>-4.2750000000000004</v>
      </c>
      <c r="D193" s="8">
        <f>[186]Sheet2!$J$4</f>
        <v>-61.783999999999999</v>
      </c>
      <c r="E193" s="7">
        <f>[186]Sheet2!$D$8</f>
        <v>16550.288279361812</v>
      </c>
      <c r="F193" s="7" t="str">
        <f>[186]Sheet2!$G$4</f>
        <v>Purus</v>
      </c>
      <c r="G193" s="7" t="str">
        <f>[186]Sheet2!$G$5</f>
        <v>Brazil</v>
      </c>
      <c r="H193" s="7" t="str">
        <f>[186]Sheet2!$H$8</f>
        <v>2</v>
      </c>
      <c r="I193" s="7">
        <f t="shared" si="150"/>
        <v>2</v>
      </c>
      <c r="J193" s="15" t="e">
        <f>[186]Sheet2!$H$9</f>
        <v>#N/A</v>
      </c>
      <c r="K193" s="19">
        <f>[186]Sheet2!$D$9</f>
        <v>32.733781778594732</v>
      </c>
      <c r="L193" s="9">
        <f>[186]Sheet2!$D$7</f>
        <v>43922</v>
      </c>
      <c r="N193" s="8">
        <f t="shared" si="153"/>
        <v>9999</v>
      </c>
      <c r="O193" s="8">
        <f t="shared" si="154"/>
        <v>9999</v>
      </c>
      <c r="P193" s="8">
        <f t="shared" si="155"/>
        <v>-61.783999999999999</v>
      </c>
      <c r="Q193" s="8">
        <f t="shared" si="156"/>
        <v>-4.2750000000000004</v>
      </c>
      <c r="R193" s="8">
        <f t="shared" si="157"/>
        <v>9999</v>
      </c>
      <c r="S193" s="8">
        <f t="shared" si="158"/>
        <v>9999</v>
      </c>
      <c r="T193" s="8">
        <f t="shared" si="159"/>
        <v>9999</v>
      </c>
      <c r="U193" s="8">
        <f t="shared" si="160"/>
        <v>9999</v>
      </c>
      <c r="V193" s="8">
        <f t="shared" si="163"/>
        <v>9999</v>
      </c>
      <c r="W193" s="8">
        <f t="shared" si="164"/>
        <v>9999</v>
      </c>
    </row>
    <row r="194" spans="1:23" x14ac:dyDescent="0.2">
      <c r="A194" s="7">
        <v>1091</v>
      </c>
      <c r="B194" s="7"/>
      <c r="C194" s="8">
        <f>[187]Sheet2!$J$5</f>
        <v>-7.2449999999999992</v>
      </c>
      <c r="D194" s="8">
        <f>[187]Sheet2!$J$4</f>
        <v>-64.843999999999994</v>
      </c>
      <c r="E194" s="7">
        <f>[187]Sheet2!$D$8</f>
        <v>2425.6306729389689</v>
      </c>
      <c r="F194" s="7" t="str">
        <f>[187]Sheet2!$G$4</f>
        <v>Purus</v>
      </c>
      <c r="G194" s="7" t="str">
        <f>[187]Sheet2!$G$5</f>
        <v>Brazil</v>
      </c>
      <c r="H194" s="7" t="str">
        <f>[187]Sheet2!$H$8</f>
        <v>2</v>
      </c>
      <c r="I194" s="7">
        <f t="shared" si="150"/>
        <v>2</v>
      </c>
      <c r="J194" s="15" t="e">
        <f>[187]Sheet2!$H$9</f>
        <v>#N/A</v>
      </c>
      <c r="K194" s="19">
        <f>[187]Sheet2!$D$9</f>
        <v>36.501251073151373</v>
      </c>
      <c r="L194" s="9">
        <f>[187]Sheet2!$D$7</f>
        <v>43921</v>
      </c>
      <c r="N194" s="8">
        <f t="shared" si="153"/>
        <v>9999</v>
      </c>
      <c r="O194" s="8">
        <f t="shared" si="154"/>
        <v>9999</v>
      </c>
      <c r="P194" s="8">
        <f t="shared" si="155"/>
        <v>-64.843999999999994</v>
      </c>
      <c r="Q194" s="8">
        <f t="shared" si="156"/>
        <v>-7.2449999999999992</v>
      </c>
      <c r="R194" s="8">
        <f t="shared" si="157"/>
        <v>9999</v>
      </c>
      <c r="S194" s="8">
        <f t="shared" si="158"/>
        <v>9999</v>
      </c>
      <c r="T194" s="8">
        <f t="shared" si="159"/>
        <v>9999</v>
      </c>
      <c r="U194" s="8">
        <f t="shared" si="160"/>
        <v>9999</v>
      </c>
      <c r="V194" s="8">
        <f t="shared" si="163"/>
        <v>9999</v>
      </c>
      <c r="W194" s="8">
        <f t="shared" si="164"/>
        <v>9999</v>
      </c>
    </row>
    <row r="195" spans="1:23" x14ac:dyDescent="0.2">
      <c r="A195" s="7">
        <v>1092</v>
      </c>
      <c r="B195" s="7"/>
      <c r="C195" s="8">
        <f>[188]Sheet2!$J$5</f>
        <v>-10.215</v>
      </c>
      <c r="D195" s="8">
        <f>[188]Sheet2!$J$4</f>
        <v>-74.024000000000001</v>
      </c>
      <c r="E195" s="7">
        <f>[188]Sheet2!$D$8</f>
        <v>3298.7420134728009</v>
      </c>
      <c r="F195" s="7" t="str">
        <f>[188]Sheet2!$G$4</f>
        <v>Ucayali</v>
      </c>
      <c r="G195" s="7" t="str">
        <f>[188]Sheet2!$G$5</f>
        <v>Peru</v>
      </c>
      <c r="H195" s="7" t="str">
        <f>[188]Sheet2!$H$8</f>
        <v>2</v>
      </c>
      <c r="I195" s="7">
        <f t="shared" si="150"/>
        <v>2</v>
      </c>
      <c r="J195" s="15" t="e">
        <f>[188]Sheet2!$H$9</f>
        <v>#N/A</v>
      </c>
      <c r="K195" s="19">
        <f>[188]Sheet2!$D$9</f>
        <v>8.8444300302442631</v>
      </c>
      <c r="L195" s="9">
        <f>[188]Sheet2!$D$7</f>
        <v>43923</v>
      </c>
      <c r="N195" s="8">
        <f t="shared" si="153"/>
        <v>9999</v>
      </c>
      <c r="O195" s="8">
        <f t="shared" si="154"/>
        <v>9999</v>
      </c>
      <c r="P195" s="8">
        <f t="shared" si="155"/>
        <v>-74.024000000000001</v>
      </c>
      <c r="Q195" s="8">
        <f t="shared" si="156"/>
        <v>-10.215</v>
      </c>
      <c r="R195" s="8">
        <f t="shared" si="157"/>
        <v>9999</v>
      </c>
      <c r="S195" s="8">
        <f t="shared" si="158"/>
        <v>9999</v>
      </c>
      <c r="T195" s="8">
        <f t="shared" si="159"/>
        <v>9999</v>
      </c>
      <c r="U195" s="8">
        <f t="shared" si="160"/>
        <v>9999</v>
      </c>
      <c r="V195" s="8">
        <f t="shared" si="163"/>
        <v>9999</v>
      </c>
      <c r="W195" s="8">
        <f t="shared" si="164"/>
        <v>9999</v>
      </c>
    </row>
    <row r="196" spans="1:23" x14ac:dyDescent="0.2">
      <c r="A196" s="7">
        <v>1096</v>
      </c>
      <c r="B196" s="7"/>
      <c r="C196" s="8">
        <f>[189]Sheet2!$J$5</f>
        <v>-3.8250000000000002</v>
      </c>
      <c r="D196" s="8">
        <f>[189]Sheet2!$J$4</f>
        <v>-59.084000000000003</v>
      </c>
      <c r="E196" s="7">
        <f>[189]Sheet2!$D$8</f>
        <v>29803.583613143866</v>
      </c>
      <c r="F196" s="7" t="str">
        <f>[189]Sheet2!$G$4</f>
        <v>Madeira</v>
      </c>
      <c r="G196" s="7" t="str">
        <f>[189]Sheet2!$G$5</f>
        <v>Brazil</v>
      </c>
      <c r="H196" s="7" t="str">
        <f>[189]Sheet2!$H$8</f>
        <v>2</v>
      </c>
      <c r="I196" s="7">
        <f t="shared" si="150"/>
        <v>2</v>
      </c>
      <c r="J196" s="15" t="e">
        <f>[189]Sheet2!$H$9</f>
        <v>#N/A</v>
      </c>
      <c r="K196" s="19">
        <f>[189]Sheet2!$D$9</f>
        <v>15.312520509264424</v>
      </c>
      <c r="L196" s="9">
        <f>[189]Sheet2!$D$7</f>
        <v>43922</v>
      </c>
      <c r="N196" s="8">
        <f t="shared" ref="N196:N205" si="165">IF($I196=1,$D196,9999)</f>
        <v>9999</v>
      </c>
      <c r="O196" s="8">
        <f t="shared" ref="O196:O205" si="166">IF($I196=1,$C196,9999)</f>
        <v>9999</v>
      </c>
      <c r="P196" s="8">
        <f t="shared" ref="P196:P205" si="167">IF($I196=2,$D196,9999)</f>
        <v>-59.084000000000003</v>
      </c>
      <c r="Q196" s="8">
        <f t="shared" ref="Q196:Q205" si="168">IF($I196=2,$C196,9999)</f>
        <v>-3.8250000000000002</v>
      </c>
      <c r="R196" s="8">
        <f t="shared" ref="R196:R205" si="169">IF($I196=3,$D196,9999)</f>
        <v>9999</v>
      </c>
      <c r="S196" s="8">
        <f t="shared" ref="S196:S205" si="170">IF($I196=3,$C196,9999)</f>
        <v>9999</v>
      </c>
      <c r="T196" s="8">
        <f t="shared" ref="T196:T205" si="171">IF($I196=4,$D196,9999)</f>
        <v>9999</v>
      </c>
      <c r="U196" s="8">
        <f t="shared" ref="U196:U205" si="172">IF($I196=4,$C196,9999)</f>
        <v>9999</v>
      </c>
      <c r="V196" s="8">
        <f t="shared" si="163"/>
        <v>9999</v>
      </c>
      <c r="W196" s="8">
        <f t="shared" si="164"/>
        <v>9999</v>
      </c>
    </row>
    <row r="197" spans="1:23" x14ac:dyDescent="0.2">
      <c r="A197" s="7">
        <v>1109</v>
      </c>
      <c r="B197" s="7"/>
      <c r="C197" s="8">
        <f>[190]Sheet2!$J$5</f>
        <v>-11.744999999999999</v>
      </c>
      <c r="D197" s="8">
        <f>[190]Sheet2!$J$4</f>
        <v>-50.713999999999999</v>
      </c>
      <c r="E197" s="7">
        <f>[190]Sheet2!$D$8</f>
        <v>7715.4249603704029</v>
      </c>
      <c r="F197" s="7" t="str">
        <f>[190]Sheet2!$G$4</f>
        <v>Araguaia</v>
      </c>
      <c r="G197" s="7" t="str">
        <f>[190]Sheet2!$G$5</f>
        <v>Brazil</v>
      </c>
      <c r="H197" s="7" t="str">
        <f>[190]Sheet2!$H$8</f>
        <v>3</v>
      </c>
      <c r="I197" s="7">
        <f t="shared" si="150"/>
        <v>3</v>
      </c>
      <c r="J197" s="15" t="e">
        <f>[190]Sheet2!$H$9</f>
        <v>#N/A</v>
      </c>
      <c r="K197" s="19">
        <f>[190]Sheet2!$D$9</f>
        <v>23.973317356249495</v>
      </c>
      <c r="L197" s="9">
        <f>[190]Sheet2!$D$7</f>
        <v>43923</v>
      </c>
      <c r="N197" s="8">
        <f t="shared" si="165"/>
        <v>9999</v>
      </c>
      <c r="O197" s="8">
        <f t="shared" si="166"/>
        <v>9999</v>
      </c>
      <c r="P197" s="8">
        <f t="shared" si="167"/>
        <v>9999</v>
      </c>
      <c r="Q197" s="8">
        <f t="shared" si="168"/>
        <v>9999</v>
      </c>
      <c r="R197" s="8">
        <f t="shared" si="169"/>
        <v>-50.713999999999999</v>
      </c>
      <c r="S197" s="8">
        <f t="shared" si="170"/>
        <v>-11.744999999999999</v>
      </c>
      <c r="T197" s="8">
        <f t="shared" si="171"/>
        <v>9999</v>
      </c>
      <c r="U197" s="8">
        <f t="shared" si="172"/>
        <v>9999</v>
      </c>
      <c r="V197" s="8">
        <f t="shared" si="163"/>
        <v>9999</v>
      </c>
      <c r="W197" s="8">
        <f t="shared" si="164"/>
        <v>9999</v>
      </c>
    </row>
    <row r="198" spans="1:23" x14ac:dyDescent="0.2">
      <c r="A198" s="7">
        <v>1112</v>
      </c>
      <c r="B198" s="7"/>
      <c r="C198" s="8">
        <f>[191]Sheet2!$J$5</f>
        <v>-8.6850000000000005</v>
      </c>
      <c r="D198" s="8">
        <f>[191]Sheet2!$J$4</f>
        <v>-49.454000000000001</v>
      </c>
      <c r="E198" s="7">
        <f>[191]Sheet2!$D$8</f>
        <v>20295.595575982752</v>
      </c>
      <c r="F198" s="7" t="str">
        <f>[191]Sheet2!$G$4</f>
        <v>Araguaia</v>
      </c>
      <c r="G198" s="7" t="str">
        <f>[191]Sheet2!$G$5</f>
        <v>Brazil</v>
      </c>
      <c r="H198" s="7" t="str">
        <f>[191]Sheet2!$H$8</f>
        <v>4</v>
      </c>
      <c r="I198" s="7">
        <f t="shared" si="150"/>
        <v>4</v>
      </c>
      <c r="J198" s="15" t="e">
        <f>[191]Sheet2!$H$9</f>
        <v>#N/A</v>
      </c>
      <c r="K198" s="19">
        <f>[191]Sheet2!$D$9</f>
        <v>36.75225563379351</v>
      </c>
      <c r="L198" s="9">
        <f>[191]Sheet2!$D$7</f>
        <v>43923</v>
      </c>
      <c r="N198" s="8">
        <f t="shared" si="165"/>
        <v>9999</v>
      </c>
      <c r="O198" s="8">
        <f t="shared" si="166"/>
        <v>9999</v>
      </c>
      <c r="P198" s="8">
        <f t="shared" si="167"/>
        <v>9999</v>
      </c>
      <c r="Q198" s="8">
        <f t="shared" si="168"/>
        <v>9999</v>
      </c>
      <c r="R198" s="8">
        <f t="shared" si="169"/>
        <v>9999</v>
      </c>
      <c r="S198" s="8">
        <f t="shared" si="170"/>
        <v>9999</v>
      </c>
      <c r="T198" s="8">
        <f t="shared" si="171"/>
        <v>-49.454000000000001</v>
      </c>
      <c r="U198" s="8">
        <f t="shared" si="172"/>
        <v>-8.6850000000000005</v>
      </c>
      <c r="V198" s="8">
        <f t="shared" si="163"/>
        <v>9999</v>
      </c>
      <c r="W198" s="8">
        <f t="shared" si="164"/>
        <v>9999</v>
      </c>
    </row>
    <row r="199" spans="1:23" x14ac:dyDescent="0.2">
      <c r="A199" s="7">
        <v>1139</v>
      </c>
      <c r="B199" s="7"/>
      <c r="C199" s="8">
        <f>[192]Sheet2!$J$5</f>
        <v>-12.105</v>
      </c>
      <c r="D199" s="8">
        <f>[192]Sheet2!$J$4</f>
        <v>-64.754000000000005</v>
      </c>
      <c r="E199" s="7">
        <f>[192]Sheet2!$D$8</f>
        <v>4756.8953479257034</v>
      </c>
      <c r="F199" s="7" t="str">
        <f>[192]Sheet2!$G$4</f>
        <v>Guapore</v>
      </c>
      <c r="G199" s="7" t="str">
        <f>[192]Sheet2!$G$5</f>
        <v>Bolivia</v>
      </c>
      <c r="H199" s="7" t="str">
        <f>[192]Sheet2!$H$8</f>
        <v>2</v>
      </c>
      <c r="I199" s="7">
        <f t="shared" si="150"/>
        <v>2</v>
      </c>
      <c r="J199" s="15" t="e">
        <f>[192]Sheet2!$H$9</f>
        <v>#N/A</v>
      </c>
      <c r="K199" s="19">
        <f>[192]Sheet2!$D$9</f>
        <v>11.735277428406617</v>
      </c>
      <c r="L199" s="9">
        <f>[192]Sheet2!$D$7</f>
        <v>43922</v>
      </c>
      <c r="N199" s="8">
        <f t="shared" si="165"/>
        <v>9999</v>
      </c>
      <c r="O199" s="8">
        <f t="shared" si="166"/>
        <v>9999</v>
      </c>
      <c r="P199" s="8">
        <f t="shared" si="167"/>
        <v>-64.754000000000005</v>
      </c>
      <c r="Q199" s="8">
        <f t="shared" si="168"/>
        <v>-12.105</v>
      </c>
      <c r="R199" s="8">
        <f t="shared" si="169"/>
        <v>9999</v>
      </c>
      <c r="S199" s="8">
        <f t="shared" si="170"/>
        <v>9999</v>
      </c>
      <c r="T199" s="8">
        <f t="shared" si="171"/>
        <v>9999</v>
      </c>
      <c r="U199" s="8">
        <f t="shared" si="172"/>
        <v>9999</v>
      </c>
      <c r="V199" s="8">
        <f t="shared" ref="V199:V206" si="173">IF($I199=0,$D199,9999)</f>
        <v>9999</v>
      </c>
      <c r="W199" s="8">
        <f t="shared" ref="W199:W206" si="174">IF($I199=0,$C199,9999)</f>
        <v>9999</v>
      </c>
    </row>
    <row r="200" spans="1:23" x14ac:dyDescent="0.2">
      <c r="A200" s="7">
        <v>1140</v>
      </c>
      <c r="B200" s="7"/>
      <c r="C200" s="8">
        <f>[193]Sheet2!$J$5</f>
        <v>-12.914999999999999</v>
      </c>
      <c r="D200" s="8">
        <f>[193]Sheet2!$J$4</f>
        <v>-62.864000000000004</v>
      </c>
      <c r="E200" s="7">
        <f>[193]Sheet2!$D$8</f>
        <v>1638.7621679443189</v>
      </c>
      <c r="F200" s="7" t="str">
        <f>[193]Sheet2!$G$4</f>
        <v>Guapore</v>
      </c>
      <c r="G200" s="7" t="str">
        <f>[193]Sheet2!$G$5</f>
        <v>Bolivia</v>
      </c>
      <c r="H200" s="7" t="str">
        <f>[193]Sheet2!$H$8</f>
        <v>1</v>
      </c>
      <c r="I200" s="7">
        <f t="shared" si="150"/>
        <v>1</v>
      </c>
      <c r="J200" s="15" t="e">
        <f>[193]Sheet2!$H$9</f>
        <v>#N/A</v>
      </c>
      <c r="K200" s="19">
        <f>[193]Sheet2!$D$9</f>
        <v>7.7540489164269566</v>
      </c>
      <c r="L200" s="9">
        <f>[193]Sheet2!$D$7</f>
        <v>43922</v>
      </c>
      <c r="N200" s="8">
        <f t="shared" si="165"/>
        <v>-62.864000000000004</v>
      </c>
      <c r="O200" s="8">
        <f t="shared" si="166"/>
        <v>-12.914999999999999</v>
      </c>
      <c r="P200" s="8">
        <f t="shared" si="167"/>
        <v>9999</v>
      </c>
      <c r="Q200" s="8">
        <f t="shared" si="168"/>
        <v>9999</v>
      </c>
      <c r="R200" s="8">
        <f t="shared" si="169"/>
        <v>9999</v>
      </c>
      <c r="S200" s="8">
        <f t="shared" si="170"/>
        <v>9999</v>
      </c>
      <c r="T200" s="8">
        <f t="shared" si="171"/>
        <v>9999</v>
      </c>
      <c r="U200" s="8">
        <f t="shared" si="172"/>
        <v>9999</v>
      </c>
      <c r="V200" s="8">
        <f t="shared" si="173"/>
        <v>9999</v>
      </c>
      <c r="W200" s="8">
        <f t="shared" si="174"/>
        <v>9999</v>
      </c>
    </row>
    <row r="201" spans="1:23" x14ac:dyDescent="0.2">
      <c r="A201" s="7">
        <v>1144</v>
      </c>
      <c r="B201" s="7"/>
      <c r="C201" s="8">
        <f>[194]Sheet2!$J$5</f>
        <v>-13.275</v>
      </c>
      <c r="D201" s="8">
        <f>[194]Sheet2!$J$4</f>
        <v>-64.123999999999995</v>
      </c>
      <c r="E201" s="7">
        <f>[194]Sheet2!$D$8</f>
        <v>130.2034776451074</v>
      </c>
      <c r="F201" s="7" t="str">
        <f>[194]Sheet2!$G$4</f>
        <v>Mamore</v>
      </c>
      <c r="G201" s="7" t="str">
        <f>[194]Sheet2!$G$5</f>
        <v>Bolivia</v>
      </c>
      <c r="H201" s="7" t="str">
        <f>[194]Sheet2!$H$8</f>
        <v>2</v>
      </c>
      <c r="I201" s="7">
        <f t="shared" si="150"/>
        <v>2</v>
      </c>
      <c r="J201" s="15" t="e">
        <f>[194]Sheet2!$H$9</f>
        <v>#N/A</v>
      </c>
      <c r="K201" s="19">
        <f>[194]Sheet2!$D$9</f>
        <v>8.0354905182048348</v>
      </c>
      <c r="L201" s="9">
        <f>[194]Sheet2!$D$7</f>
        <v>43922</v>
      </c>
      <c r="N201" s="8">
        <f t="shared" si="165"/>
        <v>9999</v>
      </c>
      <c r="O201" s="8">
        <f t="shared" si="166"/>
        <v>9999</v>
      </c>
      <c r="P201" s="8">
        <f t="shared" si="167"/>
        <v>-64.123999999999995</v>
      </c>
      <c r="Q201" s="8">
        <f t="shared" si="168"/>
        <v>-13.275</v>
      </c>
      <c r="R201" s="8">
        <f t="shared" si="169"/>
        <v>9999</v>
      </c>
      <c r="S201" s="8">
        <f t="shared" si="170"/>
        <v>9999</v>
      </c>
      <c r="T201" s="8">
        <f t="shared" si="171"/>
        <v>9999</v>
      </c>
      <c r="U201" s="8">
        <f t="shared" si="172"/>
        <v>9999</v>
      </c>
      <c r="V201" s="8">
        <f t="shared" si="173"/>
        <v>9999</v>
      </c>
      <c r="W201" s="8">
        <f t="shared" si="174"/>
        <v>9999</v>
      </c>
    </row>
    <row r="202" spans="1:23" x14ac:dyDescent="0.2">
      <c r="A202" s="7">
        <v>1145</v>
      </c>
      <c r="B202" s="7"/>
      <c r="C202" s="8">
        <f>[195]Sheet2!$J$5</f>
        <v>-15.435</v>
      </c>
      <c r="D202" s="8">
        <f>[195]Sheet2!$J$4</f>
        <v>-64.843999999999994</v>
      </c>
      <c r="E202" s="7">
        <f>[195]Sheet2!$D$8</f>
        <v>4386.30852023638</v>
      </c>
      <c r="F202" s="7" t="str">
        <f>[195]Sheet2!$G$4</f>
        <v>Mamore</v>
      </c>
      <c r="G202" s="7" t="str">
        <f>[195]Sheet2!$G$5</f>
        <v>Bolivia</v>
      </c>
      <c r="H202" s="7" t="str">
        <f>[195]Sheet2!$H$8</f>
        <v>2</v>
      </c>
      <c r="I202" s="7">
        <f t="shared" si="150"/>
        <v>2</v>
      </c>
      <c r="J202" s="15" t="e">
        <f>[195]Sheet2!$H$9</f>
        <v>#N/A</v>
      </c>
      <c r="K202" s="19">
        <f>[195]Sheet2!$D$9</f>
        <v>11.029894119550685</v>
      </c>
      <c r="L202" s="9">
        <f>[195]Sheet2!$D$7</f>
        <v>43922</v>
      </c>
      <c r="N202" s="8">
        <f t="shared" si="165"/>
        <v>9999</v>
      </c>
      <c r="O202" s="8">
        <f t="shared" si="166"/>
        <v>9999</v>
      </c>
      <c r="P202" s="8">
        <f t="shared" si="167"/>
        <v>-64.843999999999994</v>
      </c>
      <c r="Q202" s="8">
        <f t="shared" si="168"/>
        <v>-15.435</v>
      </c>
      <c r="R202" s="8">
        <f t="shared" si="169"/>
        <v>9999</v>
      </c>
      <c r="S202" s="8">
        <f t="shared" si="170"/>
        <v>9999</v>
      </c>
      <c r="T202" s="8">
        <f t="shared" si="171"/>
        <v>9999</v>
      </c>
      <c r="U202" s="8">
        <f t="shared" si="172"/>
        <v>9999</v>
      </c>
      <c r="V202" s="8">
        <f t="shared" si="173"/>
        <v>9999</v>
      </c>
      <c r="W202" s="8">
        <f t="shared" si="174"/>
        <v>9999</v>
      </c>
    </row>
    <row r="203" spans="1:23" x14ac:dyDescent="0.2">
      <c r="A203" s="7">
        <v>1149</v>
      </c>
      <c r="B203" s="7"/>
      <c r="C203" s="8">
        <f>[196]Sheet2!$J$5</f>
        <v>-11.385</v>
      </c>
      <c r="D203" s="8">
        <f>[196]Sheet2!$J$4</f>
        <v>-66.373999999999995</v>
      </c>
      <c r="E203" s="7">
        <f>[196]Sheet2!$D$8</f>
        <v>2643.0673472203689</v>
      </c>
      <c r="F203" s="7" t="str">
        <f>[196]Sheet2!$G$4</f>
        <v>Beni</v>
      </c>
      <c r="G203" s="7" t="str">
        <f>[196]Sheet2!$G$5</f>
        <v>Bolivia</v>
      </c>
      <c r="H203" s="7" t="str">
        <f>[196]Sheet2!$H$8</f>
        <v>2</v>
      </c>
      <c r="I203" s="7">
        <f t="shared" si="150"/>
        <v>2</v>
      </c>
      <c r="J203" s="15" t="e">
        <f>[196]Sheet2!$H$9</f>
        <v>#N/A</v>
      </c>
      <c r="K203" s="19">
        <f>[196]Sheet2!$D$9</f>
        <v>10.856792885089771</v>
      </c>
      <c r="L203" s="9">
        <f>[196]Sheet2!$D$7</f>
        <v>43921</v>
      </c>
      <c r="N203" s="8">
        <f t="shared" si="165"/>
        <v>9999</v>
      </c>
      <c r="O203" s="8">
        <f t="shared" si="166"/>
        <v>9999</v>
      </c>
      <c r="P203" s="8">
        <f t="shared" si="167"/>
        <v>-66.373999999999995</v>
      </c>
      <c r="Q203" s="8">
        <f t="shared" si="168"/>
        <v>-11.385</v>
      </c>
      <c r="R203" s="8">
        <f t="shared" si="169"/>
        <v>9999</v>
      </c>
      <c r="S203" s="8">
        <f t="shared" si="170"/>
        <v>9999</v>
      </c>
      <c r="T203" s="8">
        <f t="shared" si="171"/>
        <v>9999</v>
      </c>
      <c r="U203" s="8">
        <f t="shared" si="172"/>
        <v>9999</v>
      </c>
      <c r="V203" s="8">
        <f t="shared" si="173"/>
        <v>9999</v>
      </c>
      <c r="W203" s="8">
        <f t="shared" si="174"/>
        <v>9999</v>
      </c>
    </row>
    <row r="204" spans="1:23" x14ac:dyDescent="0.2">
      <c r="A204" s="7">
        <v>1150</v>
      </c>
      <c r="B204" s="7"/>
      <c r="C204" s="8">
        <f>[197]Sheet2!$J$5</f>
        <v>-13.994999999999999</v>
      </c>
      <c r="D204" s="8">
        <f>[197]Sheet2!$J$4</f>
        <v>-66.194000000000003</v>
      </c>
      <c r="E204" s="7">
        <f>[197]Sheet2!$D$8</f>
        <v>44.628808554439274</v>
      </c>
      <c r="F204" s="7" t="str">
        <f>[197]Sheet2!$G$4</f>
        <v>Mamore</v>
      </c>
      <c r="G204" s="7" t="str">
        <f>[197]Sheet2!$G$5</f>
        <v>Bolivia</v>
      </c>
      <c r="H204" s="7" t="str">
        <f>[197]Sheet2!$H$8</f>
        <v>1</v>
      </c>
      <c r="I204" s="7">
        <f t="shared" si="150"/>
        <v>1</v>
      </c>
      <c r="J204" s="15" t="e">
        <f>[197]Sheet2!$H$9</f>
        <v>#N/A</v>
      </c>
      <c r="K204" s="19">
        <f>[197]Sheet2!$D$9</f>
        <v>3.4181251577307457</v>
      </c>
      <c r="L204" s="9">
        <f>[197]Sheet2!$D$7</f>
        <v>43923</v>
      </c>
      <c r="N204" s="8">
        <f t="shared" si="165"/>
        <v>-66.194000000000003</v>
      </c>
      <c r="O204" s="8">
        <f t="shared" si="166"/>
        <v>-13.994999999999999</v>
      </c>
      <c r="P204" s="8">
        <f t="shared" si="167"/>
        <v>9999</v>
      </c>
      <c r="Q204" s="8">
        <f t="shared" si="168"/>
        <v>9999</v>
      </c>
      <c r="R204" s="8">
        <f t="shared" si="169"/>
        <v>9999</v>
      </c>
      <c r="S204" s="8">
        <f t="shared" si="170"/>
        <v>9999</v>
      </c>
      <c r="T204" s="8">
        <f t="shared" si="171"/>
        <v>9999</v>
      </c>
      <c r="U204" s="8">
        <f t="shared" si="172"/>
        <v>9999</v>
      </c>
      <c r="V204" s="8">
        <f t="shared" si="173"/>
        <v>9999</v>
      </c>
      <c r="W204" s="8">
        <f t="shared" si="174"/>
        <v>9999</v>
      </c>
    </row>
    <row r="205" spans="1:23" x14ac:dyDescent="0.2">
      <c r="A205" s="7">
        <v>1154</v>
      </c>
      <c r="B205" s="7"/>
      <c r="C205" s="8">
        <f>[198]Sheet2!$J$5</f>
        <v>-13.005000000000001</v>
      </c>
      <c r="D205" s="8">
        <f>[198]Sheet2!$J$4</f>
        <v>-66.103999999999999</v>
      </c>
      <c r="E205" s="7">
        <f>[198]Sheet2!$D$8</f>
        <v>78.446127606402797</v>
      </c>
      <c r="F205" s="7" t="str">
        <f>[198]Sheet2!$G$4</f>
        <v>Mamore</v>
      </c>
      <c r="G205" s="7" t="str">
        <f>[198]Sheet2!$G$5</f>
        <v>Bolivia</v>
      </c>
      <c r="H205" s="7" t="str">
        <f>[198]Sheet2!$H$8</f>
        <v>1</v>
      </c>
      <c r="I205" s="7">
        <f t="shared" ref="I205:I232" si="175">VALUE(H205)</f>
        <v>1</v>
      </c>
      <c r="J205" s="15" t="e">
        <f>[198]Sheet2!$H$9</f>
        <v>#N/A</v>
      </c>
      <c r="K205" s="19">
        <f>[198]Sheet2!$D$9</f>
        <v>10.713446840081994</v>
      </c>
      <c r="L205" s="9">
        <f>[198]Sheet2!$D$7</f>
        <v>43922</v>
      </c>
      <c r="N205" s="8">
        <f t="shared" si="165"/>
        <v>-66.103999999999999</v>
      </c>
      <c r="O205" s="8">
        <f t="shared" si="166"/>
        <v>-13.005000000000001</v>
      </c>
      <c r="P205" s="8">
        <f t="shared" si="167"/>
        <v>9999</v>
      </c>
      <c r="Q205" s="8">
        <f t="shared" si="168"/>
        <v>9999</v>
      </c>
      <c r="R205" s="8">
        <f t="shared" si="169"/>
        <v>9999</v>
      </c>
      <c r="S205" s="8">
        <f t="shared" si="170"/>
        <v>9999</v>
      </c>
      <c r="T205" s="8">
        <f t="shared" si="171"/>
        <v>9999</v>
      </c>
      <c r="U205" s="8">
        <f t="shared" si="172"/>
        <v>9999</v>
      </c>
      <c r="V205" s="8">
        <f t="shared" si="173"/>
        <v>9999</v>
      </c>
      <c r="W205" s="8">
        <f t="shared" si="174"/>
        <v>9999</v>
      </c>
    </row>
    <row r="206" spans="1:23" x14ac:dyDescent="0.2">
      <c r="A206" s="7">
        <v>1159</v>
      </c>
      <c r="B206" s="7"/>
      <c r="C206" s="8">
        <f>[199]Sheet2!$J$5</f>
        <v>-24.975000000000001</v>
      </c>
      <c r="D206" s="8">
        <f>[199]Sheet2!$J$4</f>
        <v>-60.974000000000004</v>
      </c>
      <c r="E206" s="7">
        <f>[199]Sheet2!$D$8</f>
        <v>695.44816931139974</v>
      </c>
      <c r="F206" s="7" t="str">
        <f>[199]Sheet2!$G$4</f>
        <v>Tueco</v>
      </c>
      <c r="G206" s="7" t="str">
        <f>[199]Sheet2!$G$5</f>
        <v>Argentina</v>
      </c>
      <c r="H206" s="7" t="str">
        <f>[199]Sheet2!$H$8</f>
        <v>2</v>
      </c>
      <c r="I206" s="7">
        <f t="shared" si="175"/>
        <v>2</v>
      </c>
      <c r="J206" s="15" t="e">
        <f>[199]Sheet2!$H$9</f>
        <v>#N/A</v>
      </c>
      <c r="K206" s="19">
        <f>[199]Sheet2!$D$9</f>
        <v>6.688007400576879</v>
      </c>
      <c r="L206" s="9">
        <f>[199]Sheet2!$D$7</f>
        <v>43923</v>
      </c>
      <c r="N206" s="8">
        <f t="shared" ref="N206:N207" si="176">IF($I206=1,$D206,9999)</f>
        <v>9999</v>
      </c>
      <c r="O206" s="8">
        <f t="shared" ref="O206:O207" si="177">IF($I206=1,$C206,9999)</f>
        <v>9999</v>
      </c>
      <c r="P206" s="8">
        <f t="shared" ref="P206:P207" si="178">IF($I206=2,$D206,9999)</f>
        <v>-60.974000000000004</v>
      </c>
      <c r="Q206" s="8">
        <f t="shared" ref="Q206:Q207" si="179">IF($I206=2,$C206,9999)</f>
        <v>-24.975000000000001</v>
      </c>
      <c r="R206" s="8">
        <f t="shared" ref="R206:R207" si="180">IF($I206=3,$D206,9999)</f>
        <v>9999</v>
      </c>
      <c r="S206" s="8">
        <f t="shared" ref="S206:S207" si="181">IF($I206=3,$C206,9999)</f>
        <v>9999</v>
      </c>
      <c r="T206" s="8">
        <f t="shared" ref="T206:T207" si="182">IF($I206=4,$D206,9999)</f>
        <v>9999</v>
      </c>
      <c r="U206" s="8">
        <f t="shared" ref="U206:U207" si="183">IF($I206=4,$C206,9999)</f>
        <v>9999</v>
      </c>
      <c r="V206" s="8">
        <f t="shared" si="173"/>
        <v>9999</v>
      </c>
      <c r="W206" s="8">
        <f t="shared" si="174"/>
        <v>9999</v>
      </c>
    </row>
    <row r="207" spans="1:23" x14ac:dyDescent="0.2">
      <c r="A207" s="7">
        <v>1193</v>
      </c>
      <c r="B207" s="7"/>
      <c r="C207" s="8">
        <f>[200]Sheet2!$J$5</f>
        <v>-42.885000000000005</v>
      </c>
      <c r="D207" s="8">
        <f>[200]Sheet2!$J$4</f>
        <v>-66.823999999999998</v>
      </c>
      <c r="E207" s="7">
        <f>[200]Sheet2!$D$8</f>
        <v>0</v>
      </c>
      <c r="F207" s="7" t="str">
        <f>[200]Sheet2!$G$4</f>
        <v>Bajo de la Tierra Colorada</v>
      </c>
      <c r="G207" s="7" t="str">
        <f>[200]Sheet2!$G$5</f>
        <v>Argentina</v>
      </c>
      <c r="H207" s="7" t="str">
        <f>[200]Sheet2!$H$8</f>
        <v>1</v>
      </c>
      <c r="I207" s="7">
        <f t="shared" si="175"/>
        <v>1</v>
      </c>
      <c r="J207" s="15" t="e">
        <f>[200]Sheet2!$H$9</f>
        <v>#N/A</v>
      </c>
      <c r="K207" s="19">
        <f>[200]Sheet2!$D$9</f>
        <v>0</v>
      </c>
      <c r="L207" s="9">
        <f>[200]Sheet2!$D$7</f>
        <v>43923</v>
      </c>
      <c r="N207" s="8">
        <f t="shared" si="176"/>
        <v>-66.823999999999998</v>
      </c>
      <c r="O207" s="8">
        <f t="shared" si="177"/>
        <v>-42.885000000000005</v>
      </c>
      <c r="P207" s="8">
        <f t="shared" si="178"/>
        <v>9999</v>
      </c>
      <c r="Q207" s="8">
        <f t="shared" si="179"/>
        <v>9999</v>
      </c>
      <c r="R207" s="8">
        <f t="shared" si="180"/>
        <v>9999</v>
      </c>
      <c r="S207" s="8">
        <f t="shared" si="181"/>
        <v>9999</v>
      </c>
      <c r="T207" s="8">
        <f t="shared" si="182"/>
        <v>9999</v>
      </c>
      <c r="U207" s="8">
        <f t="shared" si="183"/>
        <v>9999</v>
      </c>
      <c r="V207" s="8">
        <f t="shared" ref="V207:V210" si="184">IF($I207=0,$D207,9999)</f>
        <v>9999</v>
      </c>
      <c r="W207" s="8">
        <f t="shared" ref="W207:W210" si="185">IF($I207=0,$C207,9999)</f>
        <v>9999</v>
      </c>
    </row>
    <row r="208" spans="1:23" x14ac:dyDescent="0.2">
      <c r="A208" s="7">
        <v>1246</v>
      </c>
      <c r="B208" s="7"/>
      <c r="C208" s="8">
        <f>[201]Sheet2!$J$5</f>
        <v>-24.884999999999998</v>
      </c>
      <c r="D208" s="8">
        <f>[201]Sheet2!$J$4</f>
        <v>33.614999999999995</v>
      </c>
      <c r="E208" s="7">
        <f>[201]Sheet2!$D$8</f>
        <v>83.65576075692104</v>
      </c>
      <c r="F208" s="7" t="str">
        <f>[201]Sheet2!$G$4</f>
        <v>Limpopo</v>
      </c>
      <c r="G208" s="7" t="str">
        <f>[201]Sheet2!$G$5</f>
        <v>Mozambique</v>
      </c>
      <c r="H208" s="7" t="str">
        <f>[201]Sheet2!$H$8</f>
        <v>1</v>
      </c>
      <c r="I208" s="7">
        <f t="shared" si="175"/>
        <v>1</v>
      </c>
      <c r="J208" s="15" t="e">
        <f>[201]Sheet2!$H$9</f>
        <v>#N/A</v>
      </c>
      <c r="K208" s="19">
        <f>[201]Sheet2!$D$9</f>
        <v>0.11689708641982842</v>
      </c>
      <c r="L208" s="9">
        <f>[201]Sheet2!$D$7</f>
        <v>43923</v>
      </c>
      <c r="N208" s="8">
        <f t="shared" ref="N208:N212" si="186">IF($I208=1,$D208,9999)</f>
        <v>33.614999999999995</v>
      </c>
      <c r="O208" s="8">
        <f t="shared" ref="O208:O212" si="187">IF($I208=1,$C208,9999)</f>
        <v>-24.884999999999998</v>
      </c>
      <c r="P208" s="8">
        <f t="shared" ref="P208:P212" si="188">IF($I208=2,$D208,9999)</f>
        <v>9999</v>
      </c>
      <c r="Q208" s="8">
        <f t="shared" ref="Q208:Q212" si="189">IF($I208=2,$C208,9999)</f>
        <v>9999</v>
      </c>
      <c r="R208" s="8">
        <f t="shared" ref="R208:R212" si="190">IF($I208=3,$D208,9999)</f>
        <v>9999</v>
      </c>
      <c r="S208" s="8">
        <f t="shared" ref="S208:S212" si="191">IF($I208=3,$C208,9999)</f>
        <v>9999</v>
      </c>
      <c r="T208" s="8">
        <f t="shared" ref="T208:T212" si="192">IF($I208=4,$D208,9999)</f>
        <v>9999</v>
      </c>
      <c r="U208" s="8">
        <f t="shared" ref="U208:U212" si="193">IF($I208=4,$C208,9999)</f>
        <v>9999</v>
      </c>
      <c r="V208" s="8">
        <f t="shared" si="184"/>
        <v>9999</v>
      </c>
      <c r="W208" s="8">
        <f t="shared" si="185"/>
        <v>9999</v>
      </c>
    </row>
    <row r="209" spans="1:23" x14ac:dyDescent="0.2">
      <c r="A209" s="7">
        <v>1247</v>
      </c>
      <c r="B209" s="7"/>
      <c r="C209" s="8">
        <f>[202]Sheet2!$J$5</f>
        <v>-24.435000000000002</v>
      </c>
      <c r="D209" s="8">
        <f>[202]Sheet2!$J$4</f>
        <v>32.894999999999996</v>
      </c>
      <c r="E209" s="7">
        <f>[202]Sheet2!$D$8</f>
        <v>115.35783336018716</v>
      </c>
      <c r="F209" s="7" t="str">
        <f>[202]Sheet2!$G$4</f>
        <v>Limpopo</v>
      </c>
      <c r="G209" s="7" t="str">
        <f>[202]Sheet2!$G$5</f>
        <v>Mozambique</v>
      </c>
      <c r="H209" s="7" t="str">
        <f>[202]Sheet2!$H$8</f>
        <v>2</v>
      </c>
      <c r="I209" s="7">
        <f t="shared" si="175"/>
        <v>2</v>
      </c>
      <c r="J209" s="15" t="e">
        <f>[202]Sheet2!$H$9</f>
        <v>#N/A</v>
      </c>
      <c r="K209" s="19">
        <f>[202]Sheet2!$D$9</f>
        <v>0.19549015814549733</v>
      </c>
      <c r="L209" s="9">
        <f>[202]Sheet2!$D$7</f>
        <v>43923</v>
      </c>
      <c r="N209" s="8">
        <f t="shared" si="186"/>
        <v>9999</v>
      </c>
      <c r="O209" s="8">
        <f t="shared" si="187"/>
        <v>9999</v>
      </c>
      <c r="P209" s="8">
        <f t="shared" si="188"/>
        <v>32.894999999999996</v>
      </c>
      <c r="Q209" s="8">
        <f t="shared" si="189"/>
        <v>-24.435000000000002</v>
      </c>
      <c r="R209" s="8">
        <f t="shared" si="190"/>
        <v>9999</v>
      </c>
      <c r="S209" s="8">
        <f t="shared" si="191"/>
        <v>9999</v>
      </c>
      <c r="T209" s="8">
        <f t="shared" si="192"/>
        <v>9999</v>
      </c>
      <c r="U209" s="8">
        <f t="shared" si="193"/>
        <v>9999</v>
      </c>
      <c r="V209" s="8">
        <f t="shared" si="184"/>
        <v>9999</v>
      </c>
      <c r="W209" s="8">
        <f t="shared" si="185"/>
        <v>9999</v>
      </c>
    </row>
    <row r="210" spans="1:23" x14ac:dyDescent="0.2">
      <c r="A210" s="7">
        <v>1251</v>
      </c>
      <c r="B210" s="7"/>
      <c r="C210" s="8">
        <f>[203]Sheet2!$J$5</f>
        <v>10.664</v>
      </c>
      <c r="D210" s="8">
        <f>[203]Sheet2!$J$4</f>
        <v>-9.2240000000000002</v>
      </c>
      <c r="E210" s="7">
        <f>[203]Sheet2!$D$8</f>
        <v>187.5842228802556</v>
      </c>
      <c r="F210" s="7" t="str">
        <f>[203]Sheet2!$G$4</f>
        <v>Milo</v>
      </c>
      <c r="G210" s="7" t="str">
        <f>[203]Sheet2!$G$5</f>
        <v>Guinea</v>
      </c>
      <c r="H210" s="7" t="str">
        <f>[203]Sheet2!$H$8</f>
        <v>2</v>
      </c>
      <c r="I210" s="7">
        <f t="shared" si="175"/>
        <v>2</v>
      </c>
      <c r="J210" s="15" t="e">
        <f>[203]Sheet2!$H$9</f>
        <v>#N/A</v>
      </c>
      <c r="K210" s="19">
        <f>[203]Sheet2!$D$9</f>
        <v>9.5523731656672126</v>
      </c>
      <c r="L210" s="9">
        <f>[203]Sheet2!$D$7</f>
        <v>43923</v>
      </c>
      <c r="N210" s="8">
        <f t="shared" si="186"/>
        <v>9999</v>
      </c>
      <c r="O210" s="8">
        <f t="shared" si="187"/>
        <v>9999</v>
      </c>
      <c r="P210" s="8">
        <f t="shared" si="188"/>
        <v>-9.2240000000000002</v>
      </c>
      <c r="Q210" s="8">
        <f t="shared" si="189"/>
        <v>10.664</v>
      </c>
      <c r="R210" s="8">
        <f t="shared" si="190"/>
        <v>9999</v>
      </c>
      <c r="S210" s="8">
        <f t="shared" si="191"/>
        <v>9999</v>
      </c>
      <c r="T210" s="8">
        <f t="shared" si="192"/>
        <v>9999</v>
      </c>
      <c r="U210" s="8">
        <f t="shared" si="193"/>
        <v>9999</v>
      </c>
      <c r="V210" s="8">
        <f t="shared" si="184"/>
        <v>9999</v>
      </c>
      <c r="W210" s="8">
        <f t="shared" si="185"/>
        <v>9999</v>
      </c>
    </row>
    <row r="211" spans="1:23" x14ac:dyDescent="0.2">
      <c r="A211" s="7">
        <v>1275</v>
      </c>
      <c r="B211" s="7"/>
      <c r="C211" s="8">
        <f>[204]Sheet2!$J$5</f>
        <v>-10.395</v>
      </c>
      <c r="D211" s="8">
        <f>[204]Sheet2!$J$4</f>
        <v>27.405000000000001</v>
      </c>
      <c r="E211" s="7">
        <f>[204]Sheet2!$D$8</f>
        <v>1600.2188877297053</v>
      </c>
      <c r="F211" s="7" t="str">
        <f>[204]Sheet2!$G$4</f>
        <v>Lufira</v>
      </c>
      <c r="G211" s="7" t="str">
        <f>[204]Sheet2!$G$5</f>
        <v>Zaire</v>
      </c>
      <c r="H211" s="7" t="str">
        <f>[204]Sheet2!$H$8</f>
        <v>4</v>
      </c>
      <c r="I211" s="7">
        <f t="shared" si="175"/>
        <v>4</v>
      </c>
      <c r="J211" s="15" t="e">
        <f>[204]Sheet2!$H$9</f>
        <v>#N/A</v>
      </c>
      <c r="K211" s="19">
        <f>[204]Sheet2!$D$9</f>
        <v>45.087485502853383</v>
      </c>
      <c r="L211" s="9">
        <f>[204]Sheet2!$D$7</f>
        <v>43923</v>
      </c>
      <c r="N211" s="8">
        <f t="shared" si="186"/>
        <v>9999</v>
      </c>
      <c r="O211" s="8">
        <f t="shared" si="187"/>
        <v>9999</v>
      </c>
      <c r="P211" s="8">
        <f t="shared" si="188"/>
        <v>9999</v>
      </c>
      <c r="Q211" s="8">
        <f t="shared" si="189"/>
        <v>9999</v>
      </c>
      <c r="R211" s="8">
        <f t="shared" si="190"/>
        <v>9999</v>
      </c>
      <c r="S211" s="8">
        <f t="shared" si="191"/>
        <v>9999</v>
      </c>
      <c r="T211" s="8">
        <f t="shared" si="192"/>
        <v>27.405000000000001</v>
      </c>
      <c r="U211" s="8">
        <f t="shared" si="193"/>
        <v>-10.395</v>
      </c>
      <c r="V211" s="8">
        <f t="shared" ref="V211:V215" si="194">IF($I211=0,$D211,9999)</f>
        <v>9999</v>
      </c>
      <c r="W211" s="8">
        <f t="shared" ref="W211:W215" si="195">IF($I211=0,$C211,9999)</f>
        <v>9999</v>
      </c>
    </row>
    <row r="212" spans="1:23" x14ac:dyDescent="0.2">
      <c r="A212" s="7">
        <v>1283</v>
      </c>
      <c r="B212" s="7"/>
      <c r="C212" s="8">
        <f>[205]Sheet2!$J$5</f>
        <v>-14.984999999999999</v>
      </c>
      <c r="D212" s="8">
        <f>[205]Sheet2!$J$4</f>
        <v>35.234999999999999</v>
      </c>
      <c r="E212" s="7">
        <f>[205]Sheet2!$D$8</f>
        <v>2035.9607655734089</v>
      </c>
      <c r="F212" s="7" t="str">
        <f>[205]Sheet2!$G$4</f>
        <v>Shire</v>
      </c>
      <c r="G212" s="7" t="str">
        <f>[205]Sheet2!$G$5</f>
        <v>Malawi</v>
      </c>
      <c r="H212" s="7" t="str">
        <f>[205]Sheet2!$H$8</f>
        <v>1</v>
      </c>
      <c r="I212" s="7">
        <f t="shared" si="175"/>
        <v>1</v>
      </c>
      <c r="J212" s="15" t="e">
        <f>[205]Sheet2!$H$9</f>
        <v>#N/A</v>
      </c>
      <c r="K212" s="19">
        <f>[205]Sheet2!$D$9</f>
        <v>8.4091371012362686</v>
      </c>
      <c r="L212" s="9">
        <f>[205]Sheet2!$D$7</f>
        <v>43923</v>
      </c>
      <c r="N212" s="8">
        <f t="shared" si="186"/>
        <v>35.234999999999999</v>
      </c>
      <c r="O212" s="8">
        <f t="shared" si="187"/>
        <v>-14.984999999999999</v>
      </c>
      <c r="P212" s="8">
        <f t="shared" si="188"/>
        <v>9999</v>
      </c>
      <c r="Q212" s="8">
        <f t="shared" si="189"/>
        <v>9999</v>
      </c>
      <c r="R212" s="8">
        <f t="shared" si="190"/>
        <v>9999</v>
      </c>
      <c r="S212" s="8">
        <f t="shared" si="191"/>
        <v>9999</v>
      </c>
      <c r="T212" s="8">
        <f t="shared" si="192"/>
        <v>9999</v>
      </c>
      <c r="U212" s="8">
        <f t="shared" si="193"/>
        <v>9999</v>
      </c>
      <c r="V212" s="8">
        <f t="shared" si="194"/>
        <v>9999</v>
      </c>
      <c r="W212" s="8">
        <f t="shared" si="195"/>
        <v>9999</v>
      </c>
    </row>
    <row r="213" spans="1:23" x14ac:dyDescent="0.2">
      <c r="A213" s="7">
        <v>1290</v>
      </c>
      <c r="B213" s="7"/>
      <c r="C213" s="8">
        <f>[206]Sheet2!$J$5</f>
        <v>-8.0549999999999997</v>
      </c>
      <c r="D213" s="8">
        <f>[206]Sheet2!$J$4</f>
        <v>39.015000000000001</v>
      </c>
      <c r="E213" s="7">
        <f>[206]Sheet2!$D$8</f>
        <v>1590.181724905904</v>
      </c>
      <c r="F213" s="7" t="str">
        <f>[206]Sheet2!$G$4</f>
        <v>Great Ruaha</v>
      </c>
      <c r="G213" s="7" t="str">
        <f>[206]Sheet2!$G$5</f>
        <v>Tanzania</v>
      </c>
      <c r="H213" s="7" t="str">
        <f>[206]Sheet2!$H$8</f>
        <v>4</v>
      </c>
      <c r="I213" s="7">
        <f t="shared" si="175"/>
        <v>4</v>
      </c>
      <c r="J213" s="15" t="e">
        <f>[206]Sheet2!$H$9</f>
        <v>#N/A</v>
      </c>
      <c r="K213" s="19">
        <f>[206]Sheet2!$D$9</f>
        <v>951.52560044957295</v>
      </c>
      <c r="L213" s="9">
        <f>[206]Sheet2!$D$7</f>
        <v>43923</v>
      </c>
      <c r="N213" s="8">
        <f t="shared" ref="N213:N215" si="196">IF($I213=1,$D213,9999)</f>
        <v>9999</v>
      </c>
      <c r="O213" s="8">
        <f t="shared" ref="O213:O215" si="197">IF($I213=1,$C213,9999)</f>
        <v>9999</v>
      </c>
      <c r="P213" s="8">
        <f t="shared" ref="P213:P215" si="198">IF($I213=2,$D213,9999)</f>
        <v>9999</v>
      </c>
      <c r="Q213" s="8">
        <f t="shared" ref="Q213:Q215" si="199">IF($I213=2,$C213,9999)</f>
        <v>9999</v>
      </c>
      <c r="R213" s="8">
        <f t="shared" ref="R213:R215" si="200">IF($I213=3,$D213,9999)</f>
        <v>9999</v>
      </c>
      <c r="S213" s="8">
        <f t="shared" ref="S213:S215" si="201">IF($I213=3,$C213,9999)</f>
        <v>9999</v>
      </c>
      <c r="T213" s="8">
        <f t="shared" ref="T213:T215" si="202">IF($I213=4,$D213,9999)</f>
        <v>39.015000000000001</v>
      </c>
      <c r="U213" s="8">
        <f t="shared" ref="U213:U215" si="203">IF($I213=4,$C213,9999)</f>
        <v>-8.0549999999999997</v>
      </c>
      <c r="V213" s="8">
        <f t="shared" si="194"/>
        <v>9999</v>
      </c>
      <c r="W213" s="8">
        <f t="shared" si="195"/>
        <v>9999</v>
      </c>
    </row>
    <row r="214" spans="1:23" x14ac:dyDescent="0.2">
      <c r="A214" s="7">
        <v>1292</v>
      </c>
      <c r="B214" s="7"/>
      <c r="C214" s="8">
        <f>[207]Sheet2!$J$5</f>
        <v>-8.1449999999999996</v>
      </c>
      <c r="D214" s="8">
        <f>[207]Sheet2!$J$4</f>
        <v>36.765000000000001</v>
      </c>
      <c r="E214" s="7">
        <f>[207]Sheet2!$D$8</f>
        <v>2085.8874431076047</v>
      </c>
      <c r="F214" s="7" t="str">
        <f>[207]Sheet2!$G$4</f>
        <v>Kilombero</v>
      </c>
      <c r="G214" s="7" t="str">
        <f>[207]Sheet2!$G$5</f>
        <v>Tanzania</v>
      </c>
      <c r="H214" s="7" t="str">
        <f>[207]Sheet2!$H$8</f>
        <v>4</v>
      </c>
      <c r="I214" s="7">
        <f t="shared" si="175"/>
        <v>4</v>
      </c>
      <c r="J214" s="15" t="e">
        <f>[207]Sheet2!$H$9</f>
        <v>#N/A</v>
      </c>
      <c r="K214" s="19">
        <f>[207]Sheet2!$D$9</f>
        <v>1211.6048241308845</v>
      </c>
      <c r="L214" s="9">
        <f>[207]Sheet2!$D$7</f>
        <v>43922</v>
      </c>
      <c r="N214" s="8">
        <f t="shared" si="196"/>
        <v>9999</v>
      </c>
      <c r="O214" s="8">
        <f t="shared" si="197"/>
        <v>9999</v>
      </c>
      <c r="P214" s="8">
        <f t="shared" si="198"/>
        <v>9999</v>
      </c>
      <c r="Q214" s="8">
        <f t="shared" si="199"/>
        <v>9999</v>
      </c>
      <c r="R214" s="8">
        <f t="shared" si="200"/>
        <v>9999</v>
      </c>
      <c r="S214" s="8">
        <f t="shared" si="201"/>
        <v>9999</v>
      </c>
      <c r="T214" s="8">
        <f t="shared" si="202"/>
        <v>36.765000000000001</v>
      </c>
      <c r="U214" s="8">
        <f t="shared" si="203"/>
        <v>-8.1449999999999996</v>
      </c>
      <c r="V214" s="8">
        <f t="shared" si="194"/>
        <v>9999</v>
      </c>
      <c r="W214" s="8">
        <f t="shared" si="195"/>
        <v>9999</v>
      </c>
    </row>
    <row r="215" spans="1:23" x14ac:dyDescent="0.2">
      <c r="A215" s="7">
        <v>1301</v>
      </c>
      <c r="B215" s="7"/>
      <c r="C215" s="8">
        <f>[208]Sheet2!$J$5</f>
        <v>-9.8550000000000004</v>
      </c>
      <c r="D215" s="8">
        <f>[208]Sheet2!$J$4</f>
        <v>32.174999999999997</v>
      </c>
      <c r="E215" s="7">
        <f>[208]Sheet2!$D$8</f>
        <v>1693.9577592856544</v>
      </c>
      <c r="F215" s="7" t="str">
        <f>[208]Sheet2!$G$4</f>
        <v>Chambeshi</v>
      </c>
      <c r="G215" s="7" t="str">
        <f>[208]Sheet2!$G$5</f>
        <v>Zambia</v>
      </c>
      <c r="H215" s="7" t="str">
        <f>[208]Sheet2!$H$8</f>
        <v>4</v>
      </c>
      <c r="I215" s="7">
        <f t="shared" si="175"/>
        <v>4</v>
      </c>
      <c r="J215" s="15" t="e">
        <f>[208]Sheet2!$H$9</f>
        <v>#N/A</v>
      </c>
      <c r="K215" s="19">
        <f>[208]Sheet2!$D$9</f>
        <v>164.3262603410339</v>
      </c>
      <c r="L215" s="9">
        <f>[208]Sheet2!$D$7</f>
        <v>43923</v>
      </c>
      <c r="N215" s="8">
        <f t="shared" si="196"/>
        <v>9999</v>
      </c>
      <c r="O215" s="8">
        <f t="shared" si="197"/>
        <v>9999</v>
      </c>
      <c r="P215" s="8">
        <f t="shared" si="198"/>
        <v>9999</v>
      </c>
      <c r="Q215" s="8">
        <f t="shared" si="199"/>
        <v>9999</v>
      </c>
      <c r="R215" s="8">
        <f t="shared" si="200"/>
        <v>9999</v>
      </c>
      <c r="S215" s="8">
        <f t="shared" si="201"/>
        <v>9999</v>
      </c>
      <c r="T215" s="8">
        <f t="shared" si="202"/>
        <v>32.174999999999997</v>
      </c>
      <c r="U215" s="8">
        <f t="shared" si="203"/>
        <v>-9.8550000000000004</v>
      </c>
      <c r="V215" s="8">
        <f t="shared" si="194"/>
        <v>9999</v>
      </c>
      <c r="W215" s="8">
        <f t="shared" si="195"/>
        <v>9999</v>
      </c>
    </row>
    <row r="216" spans="1:23" x14ac:dyDescent="0.2">
      <c r="A216" s="7">
        <v>1418</v>
      </c>
      <c r="B216" s="7"/>
      <c r="C216" s="8">
        <f>[209]Sheet2!$J$5</f>
        <v>11.834</v>
      </c>
      <c r="D216" s="8">
        <f>[209]Sheet2!$J$4</f>
        <v>3.5549999999999997</v>
      </c>
      <c r="E216" s="7">
        <f>[209]Sheet2!$D$8</f>
        <v>3482.7766176322475</v>
      </c>
      <c r="F216" s="7" t="str">
        <f>[209]Sheet2!$G$4</f>
        <v>Niger</v>
      </c>
      <c r="G216" s="7" t="str">
        <f>[209]Sheet2!$G$5</f>
        <v>Mali</v>
      </c>
      <c r="H216" s="7" t="str">
        <f>[209]Sheet2!$H$8</f>
        <v>2</v>
      </c>
      <c r="I216" s="7">
        <f t="shared" si="175"/>
        <v>2</v>
      </c>
      <c r="J216" s="15" t="e">
        <f>[209]Sheet2!$H$9</f>
        <v>#N/A</v>
      </c>
      <c r="K216" s="19">
        <f>[209]Sheet2!$D$9</f>
        <v>1.1020936243629003</v>
      </c>
      <c r="L216" s="9">
        <f>[209]Sheet2!$D$7</f>
        <v>43923</v>
      </c>
      <c r="N216" s="8">
        <f t="shared" ref="N216:N222" si="204">IF($I216=1,$D216,9999)</f>
        <v>9999</v>
      </c>
      <c r="O216" s="8">
        <f t="shared" ref="O216:O222" si="205">IF($I216=1,$C216,9999)</f>
        <v>9999</v>
      </c>
      <c r="P216" s="8">
        <f t="shared" ref="P216:P222" si="206">IF($I216=2,$D216,9999)</f>
        <v>3.5549999999999997</v>
      </c>
      <c r="Q216" s="8">
        <f t="shared" ref="Q216:Q222" si="207">IF($I216=2,$C216,9999)</f>
        <v>11.834</v>
      </c>
      <c r="R216" s="8">
        <f t="shared" ref="R216:R222" si="208">IF($I216=3,$D216,9999)</f>
        <v>9999</v>
      </c>
      <c r="S216" s="8">
        <f t="shared" ref="S216:S222" si="209">IF($I216=3,$C216,9999)</f>
        <v>9999</v>
      </c>
      <c r="T216" s="8">
        <f t="shared" ref="T216:T222" si="210">IF($I216=4,$D216,9999)</f>
        <v>9999</v>
      </c>
      <c r="U216" s="8">
        <f t="shared" ref="U216:U222" si="211">IF($I216=4,$C216,9999)</f>
        <v>9999</v>
      </c>
      <c r="V216" s="8">
        <f t="shared" ref="V216:V222" si="212">IF($I216=0,$D216,9999)</f>
        <v>9999</v>
      </c>
      <c r="W216" s="8">
        <f t="shared" ref="W216:W222" si="213">IF($I216=0,$C216,9999)</f>
        <v>9999</v>
      </c>
    </row>
    <row r="217" spans="1:23" x14ac:dyDescent="0.2">
      <c r="A217" s="7">
        <v>1419</v>
      </c>
      <c r="B217" s="7"/>
      <c r="C217" s="8">
        <f>[210]Sheet2!$J$5</f>
        <v>11.474</v>
      </c>
      <c r="D217" s="8">
        <f>[210]Sheet2!$J$4</f>
        <v>4.0949999999999998</v>
      </c>
      <c r="E217" s="7">
        <f>[210]Sheet2!$D$8</f>
        <v>1768.9413800314069</v>
      </c>
      <c r="F217" s="7" t="str">
        <f>[210]Sheet2!$G$4</f>
        <v>Niger</v>
      </c>
      <c r="G217" s="7" t="str">
        <f>[210]Sheet2!$G$5</f>
        <v>Nigeria</v>
      </c>
      <c r="H217" s="7" t="str">
        <f>[210]Sheet2!$H$8</f>
        <v>2</v>
      </c>
      <c r="I217" s="7">
        <f t="shared" si="175"/>
        <v>2</v>
      </c>
      <c r="J217" s="15" t="e">
        <f>[210]Sheet2!$H$9</f>
        <v>#N/A</v>
      </c>
      <c r="K217" s="19">
        <f>[210]Sheet2!$D$9</f>
        <v>0.66470145325198304</v>
      </c>
      <c r="L217" s="9">
        <f>[210]Sheet2!$D$7</f>
        <v>43923</v>
      </c>
      <c r="N217" s="8">
        <f t="shared" si="204"/>
        <v>9999</v>
      </c>
      <c r="O217" s="8">
        <f t="shared" si="205"/>
        <v>9999</v>
      </c>
      <c r="P217" s="8">
        <f t="shared" si="206"/>
        <v>4.0949999999999998</v>
      </c>
      <c r="Q217" s="8">
        <f t="shared" si="207"/>
        <v>11.474</v>
      </c>
      <c r="R217" s="8">
        <f t="shared" si="208"/>
        <v>9999</v>
      </c>
      <c r="S217" s="8">
        <f t="shared" si="209"/>
        <v>9999</v>
      </c>
      <c r="T217" s="8">
        <f t="shared" si="210"/>
        <v>9999</v>
      </c>
      <c r="U217" s="8">
        <f t="shared" si="211"/>
        <v>9999</v>
      </c>
      <c r="V217" s="8">
        <f t="shared" si="212"/>
        <v>9999</v>
      </c>
      <c r="W217" s="8">
        <f t="shared" si="213"/>
        <v>9999</v>
      </c>
    </row>
    <row r="218" spans="1:23" x14ac:dyDescent="0.2">
      <c r="A218" s="7">
        <v>1420</v>
      </c>
      <c r="B218" s="7"/>
      <c r="C218" s="8">
        <f>[211]Sheet2!$J$5</f>
        <v>11.204000000000001</v>
      </c>
      <c r="D218" s="8">
        <f>[211]Sheet2!$J$4</f>
        <v>4.3650000000000002</v>
      </c>
      <c r="E218" s="7">
        <f>[211]Sheet2!$D$8</f>
        <v>1350.8390168090441</v>
      </c>
      <c r="F218" s="7" t="str">
        <f>[211]Sheet2!$G$4</f>
        <v>Niger</v>
      </c>
      <c r="G218" s="7" t="str">
        <f>[211]Sheet2!$G$5</f>
        <v>Nigeria</v>
      </c>
      <c r="H218" s="7" t="str">
        <f>[211]Sheet2!$H$8</f>
        <v>2</v>
      </c>
      <c r="I218" s="7">
        <f t="shared" si="175"/>
        <v>2</v>
      </c>
      <c r="J218" s="15" t="e">
        <f>[211]Sheet2!$H$9</f>
        <v>#N/A</v>
      </c>
      <c r="K218" s="19">
        <f>[211]Sheet2!$D$9</f>
        <v>0.4209533988214888</v>
      </c>
      <c r="L218" s="9">
        <f>[211]Sheet2!$D$7</f>
        <v>43923</v>
      </c>
      <c r="N218" s="8">
        <f t="shared" si="204"/>
        <v>9999</v>
      </c>
      <c r="O218" s="8">
        <f t="shared" si="205"/>
        <v>9999</v>
      </c>
      <c r="P218" s="8">
        <f t="shared" si="206"/>
        <v>4.3650000000000002</v>
      </c>
      <c r="Q218" s="8">
        <f t="shared" si="207"/>
        <v>11.204000000000001</v>
      </c>
      <c r="R218" s="8">
        <f t="shared" si="208"/>
        <v>9999</v>
      </c>
      <c r="S218" s="8">
        <f t="shared" si="209"/>
        <v>9999</v>
      </c>
      <c r="T218" s="8">
        <f t="shared" si="210"/>
        <v>9999</v>
      </c>
      <c r="U218" s="8">
        <f t="shared" si="211"/>
        <v>9999</v>
      </c>
      <c r="V218" s="8">
        <f t="shared" si="212"/>
        <v>9999</v>
      </c>
      <c r="W218" s="8">
        <f t="shared" si="213"/>
        <v>9999</v>
      </c>
    </row>
    <row r="219" spans="1:23" x14ac:dyDescent="0.2">
      <c r="A219" s="7">
        <v>1432</v>
      </c>
      <c r="B219" s="7"/>
      <c r="C219" s="8">
        <f>[212]Sheet2!$J$5</f>
        <v>9.0440000000000005</v>
      </c>
      <c r="D219" s="8">
        <f>[212]Sheet2!$J$4</f>
        <v>5.1749999999999998</v>
      </c>
      <c r="E219" s="7">
        <f>[212]Sheet2!$D$8</f>
        <v>1889.2667549895123</v>
      </c>
      <c r="F219" s="7" t="str">
        <f>[212]Sheet2!$G$4</f>
        <v>Niger</v>
      </c>
      <c r="G219" s="7" t="str">
        <f>[212]Sheet2!$G$5</f>
        <v>Nigeria</v>
      </c>
      <c r="H219" s="7" t="str">
        <f>[212]Sheet2!$H$8</f>
        <v>2</v>
      </c>
      <c r="I219" s="7">
        <f t="shared" si="175"/>
        <v>2</v>
      </c>
      <c r="J219" s="15" t="e">
        <f>[212]Sheet2!$H$9</f>
        <v>#N/A</v>
      </c>
      <c r="K219" s="19">
        <f>[212]Sheet2!$D$9</f>
        <v>0.65643974188837129</v>
      </c>
      <c r="L219" s="9">
        <f>[212]Sheet2!$D$7</f>
        <v>43923</v>
      </c>
      <c r="N219" s="8">
        <f t="shared" si="204"/>
        <v>9999</v>
      </c>
      <c r="O219" s="8">
        <f t="shared" si="205"/>
        <v>9999</v>
      </c>
      <c r="P219" s="8">
        <f t="shared" si="206"/>
        <v>5.1749999999999998</v>
      </c>
      <c r="Q219" s="8">
        <f t="shared" si="207"/>
        <v>9.0440000000000005</v>
      </c>
      <c r="R219" s="8">
        <f t="shared" si="208"/>
        <v>9999</v>
      </c>
      <c r="S219" s="8">
        <f t="shared" si="209"/>
        <v>9999</v>
      </c>
      <c r="T219" s="8">
        <f t="shared" si="210"/>
        <v>9999</v>
      </c>
      <c r="U219" s="8">
        <f t="shared" si="211"/>
        <v>9999</v>
      </c>
      <c r="V219" s="8">
        <f t="shared" si="212"/>
        <v>9999</v>
      </c>
      <c r="W219" s="8">
        <f t="shared" si="213"/>
        <v>9999</v>
      </c>
    </row>
    <row r="220" spans="1:23" x14ac:dyDescent="0.2">
      <c r="A220" s="7">
        <v>1437</v>
      </c>
      <c r="B220" s="7"/>
      <c r="C220" s="8">
        <f>[213]Sheet2!$J$5</f>
        <v>6.2539999999999996</v>
      </c>
      <c r="D220" s="8">
        <f>[213]Sheet2!$J$4</f>
        <v>6.7050000000000001</v>
      </c>
      <c r="E220" s="7">
        <f>[213]Sheet2!$D$8</f>
        <v>2469.6524465400726</v>
      </c>
      <c r="F220" s="7" t="str">
        <f>[213]Sheet2!$G$4</f>
        <v>Niger</v>
      </c>
      <c r="G220" s="7" t="str">
        <f>[213]Sheet2!$G$5</f>
        <v>Nigeria</v>
      </c>
      <c r="H220" s="7" t="str">
        <f>[213]Sheet2!$H$8</f>
        <v>1</v>
      </c>
      <c r="I220" s="7">
        <f t="shared" si="175"/>
        <v>1</v>
      </c>
      <c r="J220" s="15" t="e">
        <f>[213]Sheet2!$H$9</f>
        <v>#N/A</v>
      </c>
      <c r="K220" s="19">
        <f>[213]Sheet2!$D$9</f>
        <v>0.60651970292558999</v>
      </c>
      <c r="L220" s="9">
        <f>[213]Sheet2!$D$7</f>
        <v>43922</v>
      </c>
      <c r="N220" s="8">
        <f t="shared" si="204"/>
        <v>6.7050000000000001</v>
      </c>
      <c r="O220" s="8">
        <f t="shared" si="205"/>
        <v>6.2539999999999996</v>
      </c>
      <c r="P220" s="8">
        <f t="shared" si="206"/>
        <v>9999</v>
      </c>
      <c r="Q220" s="8">
        <f t="shared" si="207"/>
        <v>9999</v>
      </c>
      <c r="R220" s="8">
        <f t="shared" si="208"/>
        <v>9999</v>
      </c>
      <c r="S220" s="8">
        <f t="shared" si="209"/>
        <v>9999</v>
      </c>
      <c r="T220" s="8">
        <f t="shared" si="210"/>
        <v>9999</v>
      </c>
      <c r="U220" s="8">
        <f t="shared" si="211"/>
        <v>9999</v>
      </c>
      <c r="V220" s="8">
        <f t="shared" si="212"/>
        <v>9999</v>
      </c>
      <c r="W220" s="8">
        <f t="shared" si="213"/>
        <v>9999</v>
      </c>
    </row>
    <row r="221" spans="1:23" x14ac:dyDescent="0.2">
      <c r="A221" s="7">
        <v>1438</v>
      </c>
      <c r="B221" s="7"/>
      <c r="C221" s="8">
        <f>[214]Sheet2!$J$5</f>
        <v>6.524</v>
      </c>
      <c r="D221" s="8">
        <f>[214]Sheet2!$J$4</f>
        <v>6.8849999999999998</v>
      </c>
      <c r="E221" s="7">
        <f>[214]Sheet2!$D$8</f>
        <v>603.05905654667004</v>
      </c>
      <c r="F221" s="7" t="str">
        <f>[214]Sheet2!$G$4</f>
        <v>Anambra</v>
      </c>
      <c r="G221" s="7" t="str">
        <f>[214]Sheet2!$G$5</f>
        <v>Nigeria</v>
      </c>
      <c r="H221" s="7" t="str">
        <f>[214]Sheet2!$H$8</f>
        <v>2</v>
      </c>
      <c r="I221" s="7">
        <f t="shared" si="175"/>
        <v>2</v>
      </c>
      <c r="J221" s="15" t="e">
        <f>[214]Sheet2!$H$9</f>
        <v>#N/A</v>
      </c>
      <c r="K221" s="19">
        <f>[214]Sheet2!$D$9</f>
        <v>29.810836152637123</v>
      </c>
      <c r="L221" s="9">
        <f>[214]Sheet2!$D$7</f>
        <v>43922</v>
      </c>
      <c r="N221" s="8">
        <f t="shared" si="204"/>
        <v>9999</v>
      </c>
      <c r="O221" s="8">
        <f t="shared" si="205"/>
        <v>9999</v>
      </c>
      <c r="P221" s="8">
        <f t="shared" si="206"/>
        <v>6.8849999999999998</v>
      </c>
      <c r="Q221" s="8">
        <f t="shared" si="207"/>
        <v>6.524</v>
      </c>
      <c r="R221" s="8">
        <f t="shared" si="208"/>
        <v>9999</v>
      </c>
      <c r="S221" s="8">
        <f t="shared" si="209"/>
        <v>9999</v>
      </c>
      <c r="T221" s="8">
        <f t="shared" si="210"/>
        <v>9999</v>
      </c>
      <c r="U221" s="8">
        <f t="shared" si="211"/>
        <v>9999</v>
      </c>
      <c r="V221" s="8">
        <f t="shared" si="212"/>
        <v>9999</v>
      </c>
      <c r="W221" s="8">
        <f t="shared" si="213"/>
        <v>9999</v>
      </c>
    </row>
    <row r="222" spans="1:23" x14ac:dyDescent="0.2">
      <c r="A222" s="7">
        <v>1441</v>
      </c>
      <c r="B222" s="7"/>
      <c r="C222" s="8">
        <f>[215]Sheet2!$J$5</f>
        <v>7.7840000000000007</v>
      </c>
      <c r="D222" s="8">
        <f>[215]Sheet2!$J$4</f>
        <v>8.8650000000000002</v>
      </c>
      <c r="E222" s="7">
        <f>[215]Sheet2!$D$8</f>
        <v>4703.7010183132952</v>
      </c>
      <c r="F222" s="7" t="str">
        <f>[215]Sheet2!$G$4</f>
        <v>Benue</v>
      </c>
      <c r="G222" s="7" t="str">
        <f>[215]Sheet2!$G$5</f>
        <v>Nigeria</v>
      </c>
      <c r="H222" s="7" t="str">
        <f>[215]Sheet2!$H$8</f>
        <v>2</v>
      </c>
      <c r="I222" s="7">
        <f t="shared" si="175"/>
        <v>2</v>
      </c>
      <c r="J222" s="15" t="e">
        <f>[215]Sheet2!$H$9</f>
        <v>#N/A</v>
      </c>
      <c r="K222" s="19">
        <f>[215]Sheet2!$D$9</f>
        <v>9.4722304378144955</v>
      </c>
      <c r="L222" s="9">
        <f>[215]Sheet2!$D$7</f>
        <v>43922</v>
      </c>
      <c r="N222" s="8">
        <f t="shared" si="204"/>
        <v>9999</v>
      </c>
      <c r="O222" s="8">
        <f t="shared" si="205"/>
        <v>9999</v>
      </c>
      <c r="P222" s="8">
        <f t="shared" si="206"/>
        <v>8.8650000000000002</v>
      </c>
      <c r="Q222" s="8">
        <f t="shared" si="207"/>
        <v>7.7840000000000007</v>
      </c>
      <c r="R222" s="8">
        <f t="shared" si="208"/>
        <v>9999</v>
      </c>
      <c r="S222" s="8">
        <f t="shared" si="209"/>
        <v>9999</v>
      </c>
      <c r="T222" s="8">
        <f t="shared" si="210"/>
        <v>9999</v>
      </c>
      <c r="U222" s="8">
        <f t="shared" si="211"/>
        <v>9999</v>
      </c>
      <c r="V222" s="8">
        <f t="shared" si="212"/>
        <v>9999</v>
      </c>
      <c r="W222" s="8">
        <f t="shared" si="213"/>
        <v>9999</v>
      </c>
    </row>
    <row r="223" spans="1:23" x14ac:dyDescent="0.2">
      <c r="A223" s="7"/>
      <c r="B223" s="7"/>
      <c r="C223" s="8"/>
      <c r="D223" s="8"/>
      <c r="E223" s="7"/>
      <c r="F223" s="7"/>
      <c r="G223" s="7"/>
      <c r="H223" s="7"/>
      <c r="I223" s="7"/>
      <c r="J223" s="15"/>
      <c r="K223" s="19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x14ac:dyDescent="0.2">
      <c r="A224" s="7"/>
      <c r="B224" s="7"/>
      <c r="C224" s="8"/>
      <c r="D224" s="8"/>
      <c r="E224" s="7"/>
      <c r="F224" s="7"/>
      <c r="G224" s="7"/>
      <c r="H224" s="7"/>
      <c r="I224" s="7"/>
      <c r="J224" s="15"/>
      <c r="K224" s="19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x14ac:dyDescent="0.2">
      <c r="A225" s="7">
        <v>1505</v>
      </c>
      <c r="B225" s="7"/>
      <c r="C225" s="8">
        <f>[216]Sheet2!$J$5</f>
        <v>4.8140000000000001</v>
      </c>
      <c r="D225" s="8">
        <f>[216]Sheet2!$J$4</f>
        <v>36.045000000000002</v>
      </c>
      <c r="E225" s="7">
        <f>[216]Sheet2!$D$8</f>
        <v>212.89911854432208</v>
      </c>
      <c r="F225" s="7" t="str">
        <f>[216]Sheet2!$G$4</f>
        <v>Omu Delta</v>
      </c>
      <c r="G225" s="7" t="str">
        <f>[216]Sheet2!$G$5</f>
        <v>Ethiopia</v>
      </c>
      <c r="H225" s="7" t="str">
        <f>[216]Sheet2!$H$8</f>
        <v>2</v>
      </c>
      <c r="I225" s="7">
        <f t="shared" si="175"/>
        <v>2</v>
      </c>
      <c r="J225" s="15" t="e">
        <f>[216]Sheet2!$H$9</f>
        <v>#N/A</v>
      </c>
      <c r="K225" s="19">
        <f>[216]Sheet2!$D$9</f>
        <v>3.3771739703905932</v>
      </c>
      <c r="L225" s="9">
        <f>[216]Sheet2!$D$7</f>
        <v>43922</v>
      </c>
      <c r="N225" s="8">
        <f t="shared" ref="N225:N231" si="214">IF($I225=1,$D225,9999)</f>
        <v>9999</v>
      </c>
      <c r="O225" s="8">
        <f t="shared" ref="O225:O231" si="215">IF($I225=1,$C225,9999)</f>
        <v>9999</v>
      </c>
      <c r="P225" s="8">
        <f t="shared" ref="P225:P231" si="216">IF($I225=2,$D225,9999)</f>
        <v>36.045000000000002</v>
      </c>
      <c r="Q225" s="8">
        <f t="shared" ref="Q225:Q231" si="217">IF($I225=2,$C225,9999)</f>
        <v>4.8140000000000001</v>
      </c>
      <c r="R225" s="8">
        <f t="shared" ref="R225:R231" si="218">IF($I225=3,$D225,9999)</f>
        <v>9999</v>
      </c>
      <c r="S225" s="8">
        <f t="shared" ref="S225:S231" si="219">IF($I225=3,$C225,9999)</f>
        <v>9999</v>
      </c>
      <c r="T225" s="8">
        <f t="shared" ref="T225:T231" si="220">IF($I225=4,$D225,9999)</f>
        <v>9999</v>
      </c>
      <c r="U225" s="8">
        <f t="shared" ref="U225:U231" si="221">IF($I225=4,$C225,9999)</f>
        <v>9999</v>
      </c>
      <c r="V225" s="8">
        <f t="shared" ref="V225" si="222">IF($I225=0,$D225,9999)</f>
        <v>9999</v>
      </c>
      <c r="W225" s="8">
        <f t="shared" ref="W225" si="223">IF($I225=0,$C225,9999)</f>
        <v>9999</v>
      </c>
    </row>
    <row r="226" spans="1:23" x14ac:dyDescent="0.2">
      <c r="A226" s="7">
        <v>1517</v>
      </c>
      <c r="B226" s="7"/>
      <c r="C226" s="8">
        <f>[217]Sheet2!$J$5</f>
        <v>4.7240000000000002</v>
      </c>
      <c r="D226" s="8">
        <f>[217]Sheet2!$J$4</f>
        <v>42.075000000000003</v>
      </c>
      <c r="E226" s="7">
        <f>[217]Sheet2!$D$8</f>
        <v>0</v>
      </c>
      <c r="F226" s="7" t="str">
        <f>[217]Sheet2!$G$4</f>
        <v>Webe Gestro</v>
      </c>
      <c r="G226" s="7" t="str">
        <f>[217]Sheet2!$G$5</f>
        <v>Ethiopia</v>
      </c>
      <c r="H226" s="7" t="str">
        <f>[217]Sheet2!$H$8</f>
        <v>2</v>
      </c>
      <c r="I226" s="7">
        <f t="shared" si="175"/>
        <v>2</v>
      </c>
      <c r="J226" s="15" t="e">
        <f>[217]Sheet2!$H$9</f>
        <v>#N/A</v>
      </c>
      <c r="K226" s="19">
        <f>[217]Sheet2!$D$9</f>
        <v>0</v>
      </c>
      <c r="L226" s="9">
        <f>[217]Sheet2!$D$7</f>
        <v>43922</v>
      </c>
      <c r="N226" s="8">
        <f t="shared" si="214"/>
        <v>9999</v>
      </c>
      <c r="O226" s="8">
        <f t="shared" si="215"/>
        <v>9999</v>
      </c>
      <c r="P226" s="8">
        <f t="shared" si="216"/>
        <v>42.075000000000003</v>
      </c>
      <c r="Q226" s="8">
        <f t="shared" si="217"/>
        <v>4.7240000000000002</v>
      </c>
      <c r="R226" s="8">
        <f t="shared" si="218"/>
        <v>9999</v>
      </c>
      <c r="S226" s="8">
        <f t="shared" si="219"/>
        <v>9999</v>
      </c>
      <c r="T226" s="8">
        <f t="shared" si="220"/>
        <v>9999</v>
      </c>
      <c r="U226" s="8">
        <f t="shared" si="221"/>
        <v>9999</v>
      </c>
      <c r="V226" s="8">
        <f t="shared" ref="V226:V238" si="224">IF($I226=0,$D226,9999)</f>
        <v>9999</v>
      </c>
      <c r="W226" s="8">
        <f t="shared" ref="W226:W238" si="225">IF($I226=0,$C226,9999)</f>
        <v>9999</v>
      </c>
    </row>
    <row r="227" spans="1:23" x14ac:dyDescent="0.2">
      <c r="A227" s="7">
        <v>1522</v>
      </c>
      <c r="B227" s="7"/>
      <c r="C227" s="8">
        <f>[218]Sheet2!$J$5</f>
        <v>5.0839999999999996</v>
      </c>
      <c r="D227" s="8">
        <f>[218]Sheet2!$J$4</f>
        <v>44.774999999999999</v>
      </c>
      <c r="E227" s="7">
        <f>[218]Sheet2!$D$8</f>
        <v>296.20451830059721</v>
      </c>
      <c r="F227" s="7" t="str">
        <f>[218]Sheet2!$G$4</f>
        <v>Shabelle</v>
      </c>
      <c r="G227" s="7" t="str">
        <f>[218]Sheet2!$G$5</f>
        <v>Ethiopia</v>
      </c>
      <c r="H227" s="7" t="str">
        <f>[218]Sheet2!$H$8</f>
        <v>2</v>
      </c>
      <c r="I227" s="7">
        <f t="shared" si="175"/>
        <v>2</v>
      </c>
      <c r="J227" s="15" t="e">
        <f>[218]Sheet2!$H$9</f>
        <v>#N/A</v>
      </c>
      <c r="K227" s="19">
        <f>[218]Sheet2!$D$9</f>
        <v>0.89309417942156366</v>
      </c>
      <c r="L227" s="9">
        <f>[218]Sheet2!$D$7</f>
        <v>43923</v>
      </c>
      <c r="N227" s="8">
        <f t="shared" si="214"/>
        <v>9999</v>
      </c>
      <c r="O227" s="8">
        <f t="shared" si="215"/>
        <v>9999</v>
      </c>
      <c r="P227" s="8">
        <f t="shared" si="216"/>
        <v>44.774999999999999</v>
      </c>
      <c r="Q227" s="8">
        <f t="shared" si="217"/>
        <v>5.0839999999999996</v>
      </c>
      <c r="R227" s="8">
        <f t="shared" si="218"/>
        <v>9999</v>
      </c>
      <c r="S227" s="8">
        <f t="shared" si="219"/>
        <v>9999</v>
      </c>
      <c r="T227" s="8">
        <f t="shared" si="220"/>
        <v>9999</v>
      </c>
      <c r="U227" s="8">
        <f t="shared" si="221"/>
        <v>9999</v>
      </c>
      <c r="V227" s="8">
        <f t="shared" si="224"/>
        <v>9999</v>
      </c>
      <c r="W227" s="8">
        <f t="shared" si="225"/>
        <v>9999</v>
      </c>
    </row>
    <row r="228" spans="1:23" x14ac:dyDescent="0.2">
      <c r="A228" s="7">
        <v>1525</v>
      </c>
      <c r="B228" s="7"/>
      <c r="C228" s="8">
        <f>[219]Sheet2!$J$5</f>
        <v>5.444</v>
      </c>
      <c r="D228" s="8">
        <f>[219]Sheet2!$J$4</f>
        <v>44.504999999999995</v>
      </c>
      <c r="E228" s="7">
        <f>[219]Sheet2!$D$8</f>
        <v>328.44169882713163</v>
      </c>
      <c r="F228" s="7" t="str">
        <f>[219]Sheet2!$G$4</f>
        <v>Shabelle</v>
      </c>
      <c r="G228" s="7" t="str">
        <f>[219]Sheet2!$G$5</f>
        <v>Ethiopia</v>
      </c>
      <c r="H228" s="7" t="str">
        <f>[219]Sheet2!$H$8</f>
        <v>2</v>
      </c>
      <c r="I228" s="7">
        <f t="shared" si="175"/>
        <v>2</v>
      </c>
      <c r="J228" s="15" t="e">
        <f>[219]Sheet2!$H$9</f>
        <v>#N/A</v>
      </c>
      <c r="K228" s="19">
        <f>[219]Sheet2!$D$9</f>
        <v>1.1260140842581889</v>
      </c>
      <c r="L228" s="9">
        <f>[219]Sheet2!$D$7</f>
        <v>43923</v>
      </c>
      <c r="N228" s="8">
        <f t="shared" si="214"/>
        <v>9999</v>
      </c>
      <c r="O228" s="8">
        <f t="shared" si="215"/>
        <v>9999</v>
      </c>
      <c r="P228" s="8">
        <f t="shared" si="216"/>
        <v>44.504999999999995</v>
      </c>
      <c r="Q228" s="8">
        <f t="shared" si="217"/>
        <v>5.444</v>
      </c>
      <c r="R228" s="8">
        <f t="shared" si="218"/>
        <v>9999</v>
      </c>
      <c r="S228" s="8">
        <f t="shared" si="219"/>
        <v>9999</v>
      </c>
      <c r="T228" s="8">
        <f t="shared" si="220"/>
        <v>9999</v>
      </c>
      <c r="U228" s="8">
        <f t="shared" si="221"/>
        <v>9999</v>
      </c>
      <c r="V228" s="8">
        <f t="shared" si="224"/>
        <v>9999</v>
      </c>
      <c r="W228" s="8">
        <f t="shared" si="225"/>
        <v>9999</v>
      </c>
    </row>
    <row r="229" spans="1:23" x14ac:dyDescent="0.2">
      <c r="A229" s="7">
        <v>1526</v>
      </c>
      <c r="B229" s="7"/>
      <c r="C229" s="8">
        <f>[220]Sheet2!$J$5</f>
        <v>5.6239999999999997</v>
      </c>
      <c r="D229" s="8">
        <f>[220]Sheet2!$J$4</f>
        <v>44.144999999999996</v>
      </c>
      <c r="E229" s="7">
        <f>[220]Sheet2!$D$8</f>
        <v>236.27199377401192</v>
      </c>
      <c r="F229" s="7" t="str">
        <f>[220]Sheet2!$G$4</f>
        <v>Shabelle</v>
      </c>
      <c r="G229" s="7" t="str">
        <f>[220]Sheet2!$G$5</f>
        <v>Ethiopia</v>
      </c>
      <c r="H229" s="7" t="str">
        <f>[220]Sheet2!$H$8</f>
        <v>2</v>
      </c>
      <c r="I229" s="7">
        <f t="shared" si="175"/>
        <v>2</v>
      </c>
      <c r="J229" s="15" t="e">
        <f>[220]Sheet2!$H$9</f>
        <v>#N/A</v>
      </c>
      <c r="K229" s="19">
        <f>[220]Sheet2!$D$9</f>
        <v>0.97795409240863773</v>
      </c>
      <c r="L229" s="9">
        <f>[220]Sheet2!$D$7</f>
        <v>43923</v>
      </c>
      <c r="N229" s="8">
        <f t="shared" si="214"/>
        <v>9999</v>
      </c>
      <c r="O229" s="8">
        <f t="shared" si="215"/>
        <v>9999</v>
      </c>
      <c r="P229" s="8">
        <f t="shared" si="216"/>
        <v>44.144999999999996</v>
      </c>
      <c r="Q229" s="8">
        <f t="shared" si="217"/>
        <v>5.6239999999999997</v>
      </c>
      <c r="R229" s="8">
        <f t="shared" si="218"/>
        <v>9999</v>
      </c>
      <c r="S229" s="8">
        <f t="shared" si="219"/>
        <v>9999</v>
      </c>
      <c r="T229" s="8">
        <f t="shared" si="220"/>
        <v>9999</v>
      </c>
      <c r="U229" s="8">
        <f t="shared" si="221"/>
        <v>9999</v>
      </c>
      <c r="V229" s="8">
        <f t="shared" si="224"/>
        <v>9999</v>
      </c>
      <c r="W229" s="8">
        <f t="shared" si="225"/>
        <v>9999</v>
      </c>
    </row>
    <row r="230" spans="1:23" x14ac:dyDescent="0.2">
      <c r="A230" s="7">
        <v>1527</v>
      </c>
      <c r="B230" s="7"/>
      <c r="C230" s="8">
        <f>[221]Sheet2!$J$5</f>
        <v>6.0739999999999998</v>
      </c>
      <c r="D230" s="8">
        <f>[221]Sheet2!$J$4</f>
        <v>43.064999999999998</v>
      </c>
      <c r="E230" s="7">
        <f>[221]Sheet2!$D$8</f>
        <v>160.97057874058439</v>
      </c>
      <c r="F230" s="7" t="str">
        <f>[221]Sheet2!$G$4</f>
        <v>Shabelle</v>
      </c>
      <c r="G230" s="7" t="str">
        <f>[221]Sheet2!$G$5</f>
        <v>Ethiopia</v>
      </c>
      <c r="H230" s="7" t="str">
        <f>[221]Sheet2!$H$8</f>
        <v>1</v>
      </c>
      <c r="I230" s="7">
        <f t="shared" si="175"/>
        <v>1</v>
      </c>
      <c r="J230" s="15" t="e">
        <f>[221]Sheet2!$H$9</f>
        <v>#N/A</v>
      </c>
      <c r="K230" s="19">
        <f>[221]Sheet2!$D$9</f>
        <v>0.89489965431468743</v>
      </c>
      <c r="L230" s="9">
        <f>[221]Sheet2!$D$7</f>
        <v>43923</v>
      </c>
      <c r="N230" s="8">
        <f t="shared" si="214"/>
        <v>43.064999999999998</v>
      </c>
      <c r="O230" s="8">
        <f t="shared" si="215"/>
        <v>6.0739999999999998</v>
      </c>
      <c r="P230" s="8">
        <f t="shared" si="216"/>
        <v>9999</v>
      </c>
      <c r="Q230" s="8">
        <f t="shared" si="217"/>
        <v>9999</v>
      </c>
      <c r="R230" s="8">
        <f t="shared" si="218"/>
        <v>9999</v>
      </c>
      <c r="S230" s="8">
        <f t="shared" si="219"/>
        <v>9999</v>
      </c>
      <c r="T230" s="8">
        <f t="shared" si="220"/>
        <v>9999</v>
      </c>
      <c r="U230" s="8">
        <f t="shared" si="221"/>
        <v>9999</v>
      </c>
      <c r="V230" s="8">
        <f t="shared" si="224"/>
        <v>9999</v>
      </c>
      <c r="W230" s="8">
        <f t="shared" si="225"/>
        <v>9999</v>
      </c>
    </row>
    <row r="231" spans="1:23" x14ac:dyDescent="0.2">
      <c r="A231" s="7">
        <v>1529</v>
      </c>
      <c r="B231" s="7"/>
      <c r="C231" s="8">
        <f>[222]Sheet2!$J$5</f>
        <v>2.8340000000000001</v>
      </c>
      <c r="D231" s="8">
        <f>[222]Sheet2!$J$4</f>
        <v>45.405000000000001</v>
      </c>
      <c r="E231" s="7">
        <f>[222]Sheet2!$D$8</f>
        <v>425.97527187277962</v>
      </c>
      <c r="F231" s="7" t="str">
        <f>[222]Sheet2!$G$4</f>
        <v>Shabelle</v>
      </c>
      <c r="G231" s="7" t="str">
        <f>[222]Sheet2!$G$5</f>
        <v>Somalia</v>
      </c>
      <c r="H231" s="7" t="str">
        <f>[222]Sheet2!$H$8</f>
        <v>2</v>
      </c>
      <c r="I231" s="7">
        <f t="shared" si="175"/>
        <v>2</v>
      </c>
      <c r="J231" s="15" t="e">
        <f>[222]Sheet2!$H$9</f>
        <v>#N/A</v>
      </c>
      <c r="K231" s="19">
        <f>[222]Sheet2!$D$9</f>
        <v>0.77827520943372408</v>
      </c>
      <c r="L231" s="9">
        <f>[222]Sheet2!$D$7</f>
        <v>43923</v>
      </c>
      <c r="N231" s="8">
        <f t="shared" si="214"/>
        <v>9999</v>
      </c>
      <c r="O231" s="8">
        <f t="shared" si="215"/>
        <v>9999</v>
      </c>
      <c r="P231" s="8">
        <f t="shared" si="216"/>
        <v>45.405000000000001</v>
      </c>
      <c r="Q231" s="8">
        <f t="shared" si="217"/>
        <v>2.8340000000000001</v>
      </c>
      <c r="R231" s="8">
        <f t="shared" si="218"/>
        <v>9999</v>
      </c>
      <c r="S231" s="8">
        <f t="shared" si="219"/>
        <v>9999</v>
      </c>
      <c r="T231" s="8">
        <f t="shared" si="220"/>
        <v>9999</v>
      </c>
      <c r="U231" s="8">
        <f t="shared" si="221"/>
        <v>9999</v>
      </c>
      <c r="V231" s="8">
        <f t="shared" si="224"/>
        <v>9999</v>
      </c>
      <c r="W231" s="8">
        <f t="shared" si="225"/>
        <v>9999</v>
      </c>
    </row>
    <row r="232" spans="1:23" x14ac:dyDescent="0.2">
      <c r="A232" s="7">
        <v>1541</v>
      </c>
      <c r="B232" s="7"/>
      <c r="C232" s="8">
        <f>[223]Sheet2!$J$5</f>
        <v>12.374000000000001</v>
      </c>
      <c r="D232" s="8">
        <f>[223]Sheet2!$J$4</f>
        <v>32.805</v>
      </c>
      <c r="E232" s="7">
        <f>[223]Sheet2!$D$8</f>
        <v>4923.1510855555534</v>
      </c>
      <c r="F232" s="7" t="str">
        <f>[223]Sheet2!$G$4</f>
        <v>Nile</v>
      </c>
      <c r="G232" s="7" t="str">
        <f>[223]Sheet2!$G$5</f>
        <v>Sudan</v>
      </c>
      <c r="H232" s="7" t="str">
        <f>[223]Sheet2!$H$8</f>
        <v>1</v>
      </c>
      <c r="I232" s="7">
        <f t="shared" si="175"/>
        <v>1</v>
      </c>
      <c r="J232" s="15" t="e">
        <f>[223]Sheet2!$H$9</f>
        <v>#N/A</v>
      </c>
      <c r="K232" s="19">
        <f>[223]Sheet2!$D$9</f>
        <v>2.0931968229987303</v>
      </c>
      <c r="L232" s="9">
        <f>[223]Sheet2!$D$7</f>
        <v>43922</v>
      </c>
      <c r="N232" s="8">
        <f t="shared" ref="N232:N239" si="226">IF($I232=1,$D232,9999)</f>
        <v>32.805</v>
      </c>
      <c r="O232" s="8">
        <f t="shared" ref="O232:O239" si="227">IF($I232=1,$C232,9999)</f>
        <v>12.374000000000001</v>
      </c>
      <c r="P232" s="8">
        <f t="shared" ref="P232:P239" si="228">IF($I232=2,$D232,9999)</f>
        <v>9999</v>
      </c>
      <c r="Q232" s="8">
        <f t="shared" ref="Q232:Q239" si="229">IF($I232=2,$C232,9999)</f>
        <v>9999</v>
      </c>
      <c r="R232" s="8">
        <f t="shared" ref="R232:R239" si="230">IF($I232=3,$D232,9999)</f>
        <v>9999</v>
      </c>
      <c r="S232" s="8">
        <f t="shared" ref="S232:S239" si="231">IF($I232=3,$C232,9999)</f>
        <v>9999</v>
      </c>
      <c r="T232" s="8">
        <f t="shared" ref="T232:T239" si="232">IF($I232=4,$D232,9999)</f>
        <v>9999</v>
      </c>
      <c r="U232" s="8">
        <f t="shared" ref="U232:U239" si="233">IF($I232=4,$C232,9999)</f>
        <v>9999</v>
      </c>
      <c r="V232" s="8">
        <f t="shared" si="224"/>
        <v>9999</v>
      </c>
      <c r="W232" s="8">
        <f t="shared" si="225"/>
        <v>9999</v>
      </c>
    </row>
    <row r="233" spans="1:23" x14ac:dyDescent="0.2">
      <c r="A233" s="7">
        <v>1542</v>
      </c>
      <c r="B233" s="7"/>
      <c r="C233" s="8">
        <f>[224]Sheet2!$J$5</f>
        <v>13.814</v>
      </c>
      <c r="D233" s="8">
        <f>[224]Sheet2!$J$4</f>
        <v>32.445</v>
      </c>
      <c r="E233" s="7">
        <f>[224]Sheet2!$D$8</f>
        <v>4603.3662205337314</v>
      </c>
      <c r="F233" s="7" t="str">
        <f>[224]Sheet2!$G$4</f>
        <v>Nile</v>
      </c>
      <c r="G233" s="7" t="str">
        <f>[224]Sheet2!$G$5</f>
        <v>Sudan</v>
      </c>
      <c r="H233" s="7" t="str">
        <f>[224]Sheet2!$H$8</f>
        <v>1</v>
      </c>
      <c r="I233" s="7">
        <f t="shared" ref="I233:I234" si="234">VALUE(H233)</f>
        <v>1</v>
      </c>
      <c r="J233" s="15" t="e">
        <f>[224]Sheet2!$H$9</f>
        <v>#N/A</v>
      </c>
      <c r="K233" s="19">
        <f>[224]Sheet2!$D$9</f>
        <v>1.6177959842843637</v>
      </c>
      <c r="L233" s="9">
        <f>[224]Sheet2!$D$7</f>
        <v>43922</v>
      </c>
      <c r="N233" s="8">
        <f t="shared" si="226"/>
        <v>32.445</v>
      </c>
      <c r="O233" s="8">
        <f t="shared" si="227"/>
        <v>13.814</v>
      </c>
      <c r="P233" s="8">
        <f t="shared" si="228"/>
        <v>9999</v>
      </c>
      <c r="Q233" s="8">
        <f t="shared" si="229"/>
        <v>9999</v>
      </c>
      <c r="R233" s="8">
        <f t="shared" si="230"/>
        <v>9999</v>
      </c>
      <c r="S233" s="8">
        <f t="shared" si="231"/>
        <v>9999</v>
      </c>
      <c r="T233" s="8">
        <f t="shared" si="232"/>
        <v>9999</v>
      </c>
      <c r="U233" s="8">
        <f t="shared" si="233"/>
        <v>9999</v>
      </c>
      <c r="V233" s="8">
        <f t="shared" si="224"/>
        <v>9999</v>
      </c>
      <c r="W233" s="8">
        <f t="shared" si="225"/>
        <v>9999</v>
      </c>
    </row>
    <row r="234" spans="1:23" x14ac:dyDescent="0.2">
      <c r="A234" s="7">
        <v>1543</v>
      </c>
      <c r="B234" s="7"/>
      <c r="C234" s="8">
        <f>[225]Sheet2!$J$5</f>
        <v>14.804</v>
      </c>
      <c r="D234" s="8">
        <f>[225]Sheet2!$J$4</f>
        <v>32.265000000000001</v>
      </c>
      <c r="E234" s="7">
        <f>[225]Sheet2!$D$8</f>
        <v>10263.728507759995</v>
      </c>
      <c r="F234" s="7" t="str">
        <f>[225]Sheet2!$G$4</f>
        <v>Nile</v>
      </c>
      <c r="G234" s="7" t="str">
        <f>[225]Sheet2!$G$5</f>
        <v>Sudan</v>
      </c>
      <c r="H234" s="7" t="str">
        <f>[225]Sheet2!$H$8</f>
        <v>2</v>
      </c>
      <c r="I234" s="7">
        <f t="shared" si="234"/>
        <v>2</v>
      </c>
      <c r="J234" s="15">
        <f>[226]Sheet2!$H$9</f>
        <v>1.2481166711136273</v>
      </c>
      <c r="K234" s="19">
        <f>[225]Sheet2!$D$9</f>
        <v>3.6992391658920099</v>
      </c>
      <c r="L234" s="9">
        <f>[225]Sheet2!$D$7</f>
        <v>43923</v>
      </c>
      <c r="N234" s="8">
        <f t="shared" si="226"/>
        <v>9999</v>
      </c>
      <c r="O234" s="8">
        <f t="shared" si="227"/>
        <v>9999</v>
      </c>
      <c r="P234" s="8">
        <f t="shared" si="228"/>
        <v>32.265000000000001</v>
      </c>
      <c r="Q234" s="8">
        <f t="shared" si="229"/>
        <v>14.804</v>
      </c>
      <c r="R234" s="8">
        <f t="shared" si="230"/>
        <v>9999</v>
      </c>
      <c r="S234" s="8">
        <f t="shared" si="231"/>
        <v>9999</v>
      </c>
      <c r="T234" s="8">
        <f t="shared" si="232"/>
        <v>9999</v>
      </c>
      <c r="U234" s="8">
        <f t="shared" si="233"/>
        <v>9999</v>
      </c>
      <c r="V234" s="8">
        <f t="shared" si="224"/>
        <v>9999</v>
      </c>
      <c r="W234" s="8">
        <f t="shared" si="225"/>
        <v>9999</v>
      </c>
    </row>
    <row r="235" spans="1:23" x14ac:dyDescent="0.2">
      <c r="A235" s="7">
        <v>1544</v>
      </c>
      <c r="B235" s="7"/>
      <c r="C235" s="8">
        <f>[227]Sheet2!$J$5</f>
        <v>13.093999999999999</v>
      </c>
      <c r="D235" s="8">
        <f>[227]Sheet2!$J$4</f>
        <v>33.975000000000001</v>
      </c>
      <c r="E235" s="7">
        <f>[227]Sheet2!$D$8</f>
        <v>1064.6107609744067</v>
      </c>
      <c r="F235" s="7" t="str">
        <f>[227]Sheet2!$G$4</f>
        <v>Blue Nile</v>
      </c>
      <c r="G235" s="7" t="str">
        <f>[227]Sheet2!$G$5</f>
        <v>Sudan</v>
      </c>
      <c r="H235" s="7" t="str">
        <f>[227]Sheet2!$H$8</f>
        <v>2</v>
      </c>
      <c r="I235" s="7">
        <f t="shared" ref="I235:I267" si="235">VALUE(H235)</f>
        <v>2</v>
      </c>
      <c r="J235" s="15" t="e">
        <f>[227]Sheet2!$H$9</f>
        <v>#N/A</v>
      </c>
      <c r="K235" s="19">
        <f>[227]Sheet2!$D$9</f>
        <v>2.9214239906647976</v>
      </c>
      <c r="L235" s="9">
        <f>[227]Sheet2!$D$7</f>
        <v>43922</v>
      </c>
      <c r="N235" s="8">
        <f t="shared" si="226"/>
        <v>9999</v>
      </c>
      <c r="O235" s="8">
        <f t="shared" si="227"/>
        <v>9999</v>
      </c>
      <c r="P235" s="8">
        <f t="shared" si="228"/>
        <v>33.975000000000001</v>
      </c>
      <c r="Q235" s="8">
        <f t="shared" si="229"/>
        <v>13.093999999999999</v>
      </c>
      <c r="R235" s="8">
        <f t="shared" si="230"/>
        <v>9999</v>
      </c>
      <c r="S235" s="8">
        <f t="shared" si="231"/>
        <v>9999</v>
      </c>
      <c r="T235" s="8">
        <f t="shared" si="232"/>
        <v>9999</v>
      </c>
      <c r="U235" s="8">
        <f t="shared" si="233"/>
        <v>9999</v>
      </c>
      <c r="V235" s="8">
        <f t="shared" si="224"/>
        <v>9999</v>
      </c>
      <c r="W235" s="8">
        <f t="shared" si="225"/>
        <v>9999</v>
      </c>
    </row>
    <row r="236" spans="1:23" x14ac:dyDescent="0.2">
      <c r="A236" s="7">
        <v>1545</v>
      </c>
      <c r="B236" s="7"/>
      <c r="C236" s="8">
        <f>[228]Sheet2!$J$5</f>
        <v>13.724</v>
      </c>
      <c r="D236" s="8">
        <f>[228]Sheet2!$J$4</f>
        <v>33.614999999999995</v>
      </c>
      <c r="E236" s="7">
        <f>[228]Sheet2!$D$8</f>
        <v>3279.0839877150138</v>
      </c>
      <c r="F236" s="7" t="str">
        <f>[228]Sheet2!$G$4</f>
        <v>Blue Nile</v>
      </c>
      <c r="G236" s="7" t="str">
        <f>[228]Sheet2!$G$5</f>
        <v>Sudan</v>
      </c>
      <c r="H236" s="7" t="str">
        <f>[228]Sheet2!$H$8</f>
        <v>2</v>
      </c>
      <c r="I236" s="7">
        <f t="shared" si="235"/>
        <v>2</v>
      </c>
      <c r="J236" s="15" t="e">
        <f>[228]Sheet2!$H$9</f>
        <v>#N/A</v>
      </c>
      <c r="K236" s="19">
        <f>[228]Sheet2!$D$9</f>
        <v>10.842907461438367</v>
      </c>
      <c r="L236" s="9">
        <f>[228]Sheet2!$D$7</f>
        <v>43922</v>
      </c>
      <c r="N236" s="8">
        <f t="shared" si="226"/>
        <v>9999</v>
      </c>
      <c r="O236" s="8">
        <f t="shared" si="227"/>
        <v>9999</v>
      </c>
      <c r="P236" s="8">
        <f t="shared" si="228"/>
        <v>33.614999999999995</v>
      </c>
      <c r="Q236" s="8">
        <f t="shared" si="229"/>
        <v>13.724</v>
      </c>
      <c r="R236" s="8">
        <f t="shared" si="230"/>
        <v>9999</v>
      </c>
      <c r="S236" s="8">
        <f t="shared" si="231"/>
        <v>9999</v>
      </c>
      <c r="T236" s="8">
        <f t="shared" si="232"/>
        <v>9999</v>
      </c>
      <c r="U236" s="8">
        <f t="shared" si="233"/>
        <v>9999</v>
      </c>
      <c r="V236" s="8">
        <f t="shared" si="224"/>
        <v>9999</v>
      </c>
      <c r="W236" s="8">
        <f t="shared" si="225"/>
        <v>9999</v>
      </c>
    </row>
    <row r="237" spans="1:23" x14ac:dyDescent="0.2">
      <c r="A237" s="7">
        <v>1547</v>
      </c>
      <c r="B237" s="7"/>
      <c r="C237" s="8">
        <f>[229]Sheet2!$J$5</f>
        <v>15.523999999999999</v>
      </c>
      <c r="D237" s="8">
        <f>[229]Sheet2!$J$4</f>
        <v>32.445</v>
      </c>
      <c r="E237" s="7">
        <f>[229]Sheet2!$D$8</f>
        <v>5996.674627611239</v>
      </c>
      <c r="F237" s="7" t="str">
        <f>[229]Sheet2!$G$4</f>
        <v>Nile</v>
      </c>
      <c r="G237" s="7" t="str">
        <f>[229]Sheet2!$G$5</f>
        <v>Sudan</v>
      </c>
      <c r="H237" s="7" t="str">
        <f>[229]Sheet2!$H$8</f>
        <v>2</v>
      </c>
      <c r="I237" s="7">
        <f t="shared" si="235"/>
        <v>2</v>
      </c>
      <c r="J237" s="15" t="e">
        <f>[229]Sheet2!$H$9</f>
        <v>#N/A</v>
      </c>
      <c r="K237" s="19">
        <f>[229]Sheet2!$D$9</f>
        <v>1.9985497082550674</v>
      </c>
      <c r="L237" s="9">
        <f>[229]Sheet2!$D$7</f>
        <v>43923</v>
      </c>
      <c r="N237" s="8">
        <f t="shared" si="226"/>
        <v>9999</v>
      </c>
      <c r="O237" s="8">
        <f t="shared" si="227"/>
        <v>9999</v>
      </c>
      <c r="P237" s="8">
        <f t="shared" si="228"/>
        <v>32.445</v>
      </c>
      <c r="Q237" s="8">
        <f t="shared" si="229"/>
        <v>15.523999999999999</v>
      </c>
      <c r="R237" s="8">
        <f t="shared" si="230"/>
        <v>9999</v>
      </c>
      <c r="S237" s="8">
        <f t="shared" si="231"/>
        <v>9999</v>
      </c>
      <c r="T237" s="8">
        <f t="shared" si="232"/>
        <v>9999</v>
      </c>
      <c r="U237" s="8">
        <f t="shared" si="233"/>
        <v>9999</v>
      </c>
      <c r="V237" s="8">
        <f t="shared" si="224"/>
        <v>9999</v>
      </c>
      <c r="W237" s="8">
        <f t="shared" si="225"/>
        <v>9999</v>
      </c>
    </row>
    <row r="238" spans="1:23" x14ac:dyDescent="0.2">
      <c r="A238" s="7">
        <v>1548</v>
      </c>
      <c r="B238" s="7"/>
      <c r="C238" s="8">
        <f>[230]Sheet2!$J$5</f>
        <v>16.513999999999999</v>
      </c>
      <c r="D238" s="8">
        <f>[230]Sheet2!$J$4</f>
        <v>32.894999999999996</v>
      </c>
      <c r="E238" s="7">
        <f>[230]Sheet2!$D$8</f>
        <v>10033.42412900974</v>
      </c>
      <c r="F238" s="7" t="str">
        <f>[230]Sheet2!$G$4</f>
        <v>Nile</v>
      </c>
      <c r="G238" s="7" t="str">
        <f>[230]Sheet2!$G$5</f>
        <v>Sudan</v>
      </c>
      <c r="H238" s="7" t="str">
        <f>[230]Sheet2!$H$8</f>
        <v>2</v>
      </c>
      <c r="I238" s="7">
        <f t="shared" si="235"/>
        <v>2</v>
      </c>
      <c r="J238" s="15" t="e">
        <f>[230]Sheet2!$H$9</f>
        <v>#N/A</v>
      </c>
      <c r="K238" s="19">
        <f>[230]Sheet2!$D$9</f>
        <v>2.787306274052713</v>
      </c>
      <c r="L238" s="9">
        <f>[230]Sheet2!$D$7</f>
        <v>43923</v>
      </c>
      <c r="N238" s="8">
        <f t="shared" si="226"/>
        <v>9999</v>
      </c>
      <c r="O238" s="8">
        <f t="shared" si="227"/>
        <v>9999</v>
      </c>
      <c r="P238" s="8">
        <f t="shared" si="228"/>
        <v>32.894999999999996</v>
      </c>
      <c r="Q238" s="8">
        <f t="shared" si="229"/>
        <v>16.513999999999999</v>
      </c>
      <c r="R238" s="8">
        <f t="shared" si="230"/>
        <v>9999</v>
      </c>
      <c r="S238" s="8">
        <f t="shared" si="231"/>
        <v>9999</v>
      </c>
      <c r="T238" s="8">
        <f t="shared" si="232"/>
        <v>9999</v>
      </c>
      <c r="U238" s="8">
        <f t="shared" si="233"/>
        <v>9999</v>
      </c>
      <c r="V238" s="8">
        <f t="shared" si="224"/>
        <v>9999</v>
      </c>
      <c r="W238" s="8">
        <f t="shared" si="225"/>
        <v>9999</v>
      </c>
    </row>
    <row r="239" spans="1:23" x14ac:dyDescent="0.2">
      <c r="A239" s="7">
        <v>1582</v>
      </c>
      <c r="B239" s="7"/>
      <c r="C239" s="8">
        <f>[231]Sheet2!$J$5</f>
        <v>-13.185</v>
      </c>
      <c r="D239" s="8">
        <f>[231]Sheet2!$J$4</f>
        <v>49.004999999999995</v>
      </c>
      <c r="E239" s="7">
        <f>[231]Sheet2!$D$8</f>
        <v>80.833188138155208</v>
      </c>
      <c r="F239" s="7" t="str">
        <f>[231]Sheet2!$G$4</f>
        <v>Mahavavy</v>
      </c>
      <c r="G239" s="7" t="str">
        <f>[231]Sheet2!$G$5</f>
        <v>Madagascar</v>
      </c>
      <c r="H239" s="7" t="str">
        <f>[231]Sheet2!$H$8</f>
        <v>1</v>
      </c>
      <c r="I239" s="7">
        <f t="shared" si="235"/>
        <v>1</v>
      </c>
      <c r="J239" s="15" t="e">
        <f>[231]Sheet2!$H$9</f>
        <v>#N/A</v>
      </c>
      <c r="K239" s="19">
        <f>[231]Sheet2!$D$9</f>
        <v>15.124755027806758</v>
      </c>
      <c r="L239" s="9">
        <f>[231]Sheet2!$D$7</f>
        <v>43922</v>
      </c>
      <c r="N239" s="8">
        <f t="shared" si="226"/>
        <v>49.004999999999995</v>
      </c>
      <c r="O239" s="8">
        <f t="shared" si="227"/>
        <v>-13.185</v>
      </c>
      <c r="P239" s="8">
        <f t="shared" si="228"/>
        <v>9999</v>
      </c>
      <c r="Q239" s="8">
        <f t="shared" si="229"/>
        <v>9999</v>
      </c>
      <c r="R239" s="8">
        <f t="shared" si="230"/>
        <v>9999</v>
      </c>
      <c r="S239" s="8">
        <f t="shared" si="231"/>
        <v>9999</v>
      </c>
      <c r="T239" s="8">
        <f t="shared" si="232"/>
        <v>9999</v>
      </c>
      <c r="U239" s="8">
        <f t="shared" si="233"/>
        <v>9999</v>
      </c>
      <c r="V239" s="8">
        <f t="shared" ref="V239" si="236">IF($I239=0,$D239,9999)</f>
        <v>9999</v>
      </c>
      <c r="W239" s="8">
        <f t="shared" ref="W239" si="237">IF($I239=0,$C239,9999)</f>
        <v>9999</v>
      </c>
    </row>
    <row r="240" spans="1:23" x14ac:dyDescent="0.2">
      <c r="A240" s="7">
        <v>1652</v>
      </c>
      <c r="B240" s="7"/>
      <c r="C240" s="8">
        <f>[232]Sheet2!$J$5</f>
        <v>51.164000000000001</v>
      </c>
      <c r="D240" s="8">
        <f>[232]Sheet2!$J$4</f>
        <v>66.734999999999999</v>
      </c>
      <c r="E240" s="7">
        <f>[232]Sheet2!$D$8</f>
        <v>11.414306624921162</v>
      </c>
      <c r="F240" s="7" t="str">
        <f>[232]Sheet2!$G$4</f>
        <v>Ishim</v>
      </c>
      <c r="G240" s="7" t="str">
        <f>[232]Sheet2!$G$5</f>
        <v>Kazakhstan</v>
      </c>
      <c r="H240" s="7" t="str">
        <f>[232]Sheet2!$H$8</f>
        <v>1</v>
      </c>
      <c r="I240" s="7">
        <f t="shared" si="235"/>
        <v>1</v>
      </c>
      <c r="J240" s="15" t="e">
        <f>[232]Sheet2!$H$9</f>
        <v>#N/A</v>
      </c>
      <c r="K240" s="19">
        <f>[232]Sheet2!$D$9</f>
        <v>7.4817605263388154E-2</v>
      </c>
      <c r="L240" s="9">
        <f>[232]Sheet2!$D$7</f>
        <v>43923</v>
      </c>
      <c r="N240" s="8">
        <f t="shared" ref="N240" si="238">IF($I240=1,$D240,9999)</f>
        <v>66.734999999999999</v>
      </c>
      <c r="O240" s="8">
        <f t="shared" ref="O240" si="239">IF($I240=1,$C240,9999)</f>
        <v>51.164000000000001</v>
      </c>
      <c r="P240" s="8">
        <f t="shared" ref="P240" si="240">IF($I240=2,$D240,9999)</f>
        <v>9999</v>
      </c>
      <c r="Q240" s="8">
        <f t="shared" ref="Q240" si="241">IF($I240=2,$C240,9999)</f>
        <v>9999</v>
      </c>
      <c r="R240" s="8">
        <f t="shared" ref="R240" si="242">IF($I240=3,$D240,9999)</f>
        <v>9999</v>
      </c>
      <c r="S240" s="8">
        <f t="shared" ref="S240" si="243">IF($I240=3,$C240,9999)</f>
        <v>9999</v>
      </c>
      <c r="T240" s="8">
        <f t="shared" ref="T240" si="244">IF($I240=4,$D240,9999)</f>
        <v>9999</v>
      </c>
      <c r="U240" s="8">
        <f t="shared" ref="U240" si="245">IF($I240=4,$C240,9999)</f>
        <v>9999</v>
      </c>
      <c r="V240" s="8">
        <f t="shared" ref="V240" si="246">IF($I240=0,$D240,9999)</f>
        <v>9999</v>
      </c>
      <c r="W240" s="8">
        <f t="shared" ref="W240" si="247">IF($I240=0,$C240,9999)</f>
        <v>9999</v>
      </c>
    </row>
    <row r="241" spans="1:23" x14ac:dyDescent="0.2">
      <c r="A241" s="7">
        <v>1936</v>
      </c>
      <c r="B241" s="7"/>
      <c r="C241" s="8">
        <f>[233]Sheet2!$J$5</f>
        <v>26.323999999999998</v>
      </c>
      <c r="D241" s="8">
        <f>[233]Sheet2!$J$4</f>
        <v>92.025000000000006</v>
      </c>
      <c r="E241" s="7">
        <f>[233]Sheet2!$D$8</f>
        <v>9505.1907137062226</v>
      </c>
      <c r="F241" s="7" t="str">
        <f>[233]Sheet2!$G$4</f>
        <v>Bramaputra</v>
      </c>
      <c r="G241" s="7" t="str">
        <f>[233]Sheet2!$G$5</f>
        <v>India</v>
      </c>
      <c r="H241" s="7" t="str">
        <f>[233]Sheet2!$H$8</f>
        <v>2</v>
      </c>
      <c r="I241" s="7">
        <f t="shared" si="235"/>
        <v>2</v>
      </c>
      <c r="J241" s="15" t="e">
        <f>[233]Sheet2!$H$9</f>
        <v>#N/A</v>
      </c>
      <c r="K241" s="19">
        <f>[233]Sheet2!$D$9</f>
        <v>17.671043284926146</v>
      </c>
      <c r="L241" s="9">
        <f>[233]Sheet2!$D$7</f>
        <v>43922</v>
      </c>
      <c r="N241" s="8">
        <f t="shared" ref="N241:N246" si="248">IF($I241=1,$D241,9999)</f>
        <v>9999</v>
      </c>
      <c r="O241" s="8">
        <f t="shared" ref="O241:O246" si="249">IF($I241=1,$C241,9999)</f>
        <v>9999</v>
      </c>
      <c r="P241" s="8">
        <f t="shared" ref="P241:P246" si="250">IF($I241=2,$D241,9999)</f>
        <v>92.025000000000006</v>
      </c>
      <c r="Q241" s="8">
        <f t="shared" ref="Q241:Q246" si="251">IF($I241=2,$C241,9999)</f>
        <v>26.323999999999998</v>
      </c>
      <c r="R241" s="8">
        <f t="shared" ref="R241:R246" si="252">IF($I241=3,$D241,9999)</f>
        <v>9999</v>
      </c>
      <c r="S241" s="8">
        <f t="shared" ref="S241:S246" si="253">IF($I241=3,$C241,9999)</f>
        <v>9999</v>
      </c>
      <c r="T241" s="8">
        <f t="shared" ref="T241:T246" si="254">IF($I241=4,$D241,9999)</f>
        <v>9999</v>
      </c>
      <c r="U241" s="8">
        <f t="shared" ref="U241:U246" si="255">IF($I241=4,$C241,9999)</f>
        <v>9999</v>
      </c>
      <c r="V241" s="8">
        <f t="shared" ref="V241:V244" si="256">IF($I241=0,$D241,9999)</f>
        <v>9999</v>
      </c>
      <c r="W241" s="8">
        <f t="shared" ref="W241:W244" si="257">IF($I241=0,$C241,9999)</f>
        <v>9999</v>
      </c>
    </row>
    <row r="242" spans="1:23" x14ac:dyDescent="0.2">
      <c r="A242" s="7">
        <v>1937</v>
      </c>
      <c r="B242" s="7"/>
      <c r="C242" s="8">
        <f>[234]Sheet2!$J$5</f>
        <v>27.134</v>
      </c>
      <c r="D242" s="8">
        <f>[234]Sheet2!$J$4</f>
        <v>94.545000000000002</v>
      </c>
      <c r="E242" s="7">
        <f>[234]Sheet2!$D$8</f>
        <v>2378.9325423742994</v>
      </c>
      <c r="F242" s="7" t="str">
        <f>[234]Sheet2!$G$4</f>
        <v>Bramaputra</v>
      </c>
      <c r="G242" s="7" t="str">
        <f>[234]Sheet2!$G$5</f>
        <v>India</v>
      </c>
      <c r="H242" s="7" t="str">
        <f>[234]Sheet2!$H$8</f>
        <v>1</v>
      </c>
      <c r="I242" s="7">
        <f t="shared" si="235"/>
        <v>1</v>
      </c>
      <c r="J242" s="15" t="e">
        <f>[234]Sheet2!$H$9</f>
        <v>#N/A</v>
      </c>
      <c r="K242" s="19">
        <f>[234]Sheet2!$D$9</f>
        <v>4.3074999247974279</v>
      </c>
      <c r="L242" s="9">
        <f>[234]Sheet2!$D$7</f>
        <v>43922</v>
      </c>
      <c r="N242" s="8">
        <f t="shared" si="248"/>
        <v>94.545000000000002</v>
      </c>
      <c r="O242" s="8">
        <f t="shared" si="249"/>
        <v>27.134</v>
      </c>
      <c r="P242" s="8">
        <f t="shared" si="250"/>
        <v>9999</v>
      </c>
      <c r="Q242" s="8">
        <f t="shared" si="251"/>
        <v>9999</v>
      </c>
      <c r="R242" s="8">
        <f t="shared" si="252"/>
        <v>9999</v>
      </c>
      <c r="S242" s="8">
        <f t="shared" si="253"/>
        <v>9999</v>
      </c>
      <c r="T242" s="8">
        <f t="shared" si="254"/>
        <v>9999</v>
      </c>
      <c r="U242" s="8">
        <f t="shared" si="255"/>
        <v>9999</v>
      </c>
      <c r="V242" s="8">
        <f t="shared" si="256"/>
        <v>9999</v>
      </c>
      <c r="W242" s="8">
        <f t="shared" si="257"/>
        <v>9999</v>
      </c>
    </row>
    <row r="243" spans="1:23" x14ac:dyDescent="0.2">
      <c r="A243" s="7">
        <v>1938</v>
      </c>
      <c r="B243" s="7"/>
      <c r="C243" s="8">
        <f>[235]Sheet2!$J$5</f>
        <v>27.764000000000003</v>
      </c>
      <c r="D243" s="8">
        <f>[235]Sheet2!$J$4</f>
        <v>95.534999999999997</v>
      </c>
      <c r="E243" s="7">
        <f>[235]Sheet2!$D$8</f>
        <v>6432.8188040656969</v>
      </c>
      <c r="F243" s="7" t="str">
        <f>[235]Sheet2!$G$4</f>
        <v>Bramaputra</v>
      </c>
      <c r="G243" s="7" t="str">
        <f>[235]Sheet2!$G$5</f>
        <v>India</v>
      </c>
      <c r="H243" s="7" t="str">
        <f>[235]Sheet2!$H$8</f>
        <v>2</v>
      </c>
      <c r="I243" s="7">
        <f t="shared" si="235"/>
        <v>2</v>
      </c>
      <c r="J243" s="15" t="e">
        <f>[235]Sheet2!$H$9</f>
        <v>#N/A</v>
      </c>
      <c r="K243" s="19" t="e">
        <f>[235]Sheet2!$D$9</f>
        <v>#N/A</v>
      </c>
      <c r="L243" s="9">
        <f>[235]Sheet2!$D$7</f>
        <v>43922</v>
      </c>
      <c r="N243" s="8">
        <f t="shared" si="248"/>
        <v>9999</v>
      </c>
      <c r="O243" s="8">
        <f t="shared" si="249"/>
        <v>9999</v>
      </c>
      <c r="P243" s="8">
        <f t="shared" si="250"/>
        <v>95.534999999999997</v>
      </c>
      <c r="Q243" s="8">
        <f t="shared" si="251"/>
        <v>27.764000000000003</v>
      </c>
      <c r="R243" s="8">
        <f t="shared" si="252"/>
        <v>9999</v>
      </c>
      <c r="S243" s="8">
        <f t="shared" si="253"/>
        <v>9999</v>
      </c>
      <c r="T243" s="8">
        <f t="shared" si="254"/>
        <v>9999</v>
      </c>
      <c r="U243" s="8">
        <f t="shared" si="255"/>
        <v>9999</v>
      </c>
      <c r="V243" s="8">
        <f t="shared" si="256"/>
        <v>9999</v>
      </c>
      <c r="W243" s="8">
        <f t="shared" si="257"/>
        <v>9999</v>
      </c>
    </row>
    <row r="244" spans="1:23" x14ac:dyDescent="0.2">
      <c r="A244" s="7">
        <v>1944</v>
      </c>
      <c r="B244" s="7"/>
      <c r="C244" s="8">
        <f>[236]Sheet2!$J$5</f>
        <v>25.064</v>
      </c>
      <c r="D244" s="8">
        <f>[236]Sheet2!$J$4</f>
        <v>97.245000000000005</v>
      </c>
      <c r="E244" s="7">
        <f>[236]Sheet2!$D$8</f>
        <v>12472.742567636731</v>
      </c>
      <c r="F244" s="7" t="str">
        <f>[236]Sheet2!$G$4</f>
        <v>Irrawaddy</v>
      </c>
      <c r="G244" s="7" t="str">
        <f>[236]Sheet2!$G$5</f>
        <v>Myanmar</v>
      </c>
      <c r="H244" s="7" t="str">
        <f>[236]Sheet2!$H$8</f>
        <v>1</v>
      </c>
      <c r="I244" s="7">
        <f t="shared" si="235"/>
        <v>1</v>
      </c>
      <c r="J244" s="15" t="e">
        <f>[236]Sheet2!$H$9</f>
        <v>#N/A</v>
      </c>
      <c r="K244" s="19">
        <f>[236]Sheet2!$D$9</f>
        <v>1585.9520078344033</v>
      </c>
      <c r="L244" s="9">
        <f>[236]Sheet2!$D$7</f>
        <v>43922</v>
      </c>
      <c r="N244" s="8">
        <f t="shared" si="248"/>
        <v>97.245000000000005</v>
      </c>
      <c r="O244" s="8">
        <f t="shared" si="249"/>
        <v>25.064</v>
      </c>
      <c r="P244" s="8">
        <f t="shared" si="250"/>
        <v>9999</v>
      </c>
      <c r="Q244" s="8">
        <f t="shared" si="251"/>
        <v>9999</v>
      </c>
      <c r="R244" s="8">
        <f t="shared" si="252"/>
        <v>9999</v>
      </c>
      <c r="S244" s="8">
        <f t="shared" si="253"/>
        <v>9999</v>
      </c>
      <c r="T244" s="8">
        <f t="shared" si="254"/>
        <v>9999</v>
      </c>
      <c r="U244" s="8">
        <f t="shared" si="255"/>
        <v>9999</v>
      </c>
      <c r="V244" s="8">
        <f t="shared" si="256"/>
        <v>9999</v>
      </c>
      <c r="W244" s="8">
        <f t="shared" si="257"/>
        <v>9999</v>
      </c>
    </row>
    <row r="245" spans="1:23" x14ac:dyDescent="0.2">
      <c r="A245" s="7">
        <v>1958</v>
      </c>
      <c r="B245" s="7"/>
      <c r="C245" s="8">
        <f>[237]Sheet2!$J$5</f>
        <v>44.594000000000001</v>
      </c>
      <c r="D245" s="8">
        <f>[237]Sheet2!$J$4</f>
        <v>11.835000000000001</v>
      </c>
      <c r="E245" s="7">
        <f>[237]Sheet2!$D$8</f>
        <v>13.440908448038016</v>
      </c>
      <c r="F245" s="7" t="str">
        <f>[237]Sheet2!$G$4</f>
        <v>Reno</v>
      </c>
      <c r="G245" s="7" t="str">
        <f>[237]Sheet2!$G$5</f>
        <v>Italy</v>
      </c>
      <c r="H245" s="7" t="str">
        <f>[237]Sheet2!$H$8</f>
        <v>1</v>
      </c>
      <c r="I245" s="7">
        <f t="shared" si="235"/>
        <v>1</v>
      </c>
      <c r="J245" s="15" t="e">
        <f>[237]Sheet2!$H$9</f>
        <v>#N/A</v>
      </c>
      <c r="K245" s="19">
        <f>[237]Sheet2!$D$9</f>
        <v>2.1573958866292777</v>
      </c>
      <c r="L245" s="9">
        <f>[237]Sheet2!$D$7</f>
        <v>43922</v>
      </c>
      <c r="N245" s="8">
        <f t="shared" si="248"/>
        <v>11.835000000000001</v>
      </c>
      <c r="O245" s="8">
        <f t="shared" si="249"/>
        <v>44.594000000000001</v>
      </c>
      <c r="P245" s="8">
        <f t="shared" si="250"/>
        <v>9999</v>
      </c>
      <c r="Q245" s="8">
        <f t="shared" si="251"/>
        <v>9999</v>
      </c>
      <c r="R245" s="8">
        <f t="shared" si="252"/>
        <v>9999</v>
      </c>
      <c r="S245" s="8">
        <f t="shared" si="253"/>
        <v>9999</v>
      </c>
      <c r="T245" s="8">
        <f t="shared" si="254"/>
        <v>9999</v>
      </c>
      <c r="U245" s="8">
        <f t="shared" si="255"/>
        <v>9999</v>
      </c>
      <c r="V245" s="8">
        <f t="shared" ref="V245:V256" si="258">IF($I245=0,$D245,9999)</f>
        <v>9999</v>
      </c>
      <c r="W245" s="8">
        <f t="shared" ref="W245:W256" si="259">IF($I245=0,$C245,9999)</f>
        <v>9999</v>
      </c>
    </row>
    <row r="246" spans="1:23" x14ac:dyDescent="0.2">
      <c r="A246" s="7">
        <v>1970</v>
      </c>
      <c r="B246" s="7"/>
      <c r="C246" s="8">
        <f>[238]Sheet2!$J$5</f>
        <v>34.694000000000003</v>
      </c>
      <c r="D246" s="8">
        <f>[238]Sheet2!$J$4</f>
        <v>40.814999999999998</v>
      </c>
      <c r="E246" s="7">
        <f>[238]Sheet2!$D$8</f>
        <v>448.28946140832636</v>
      </c>
      <c r="F246" s="7" t="str">
        <f>[238]Sheet2!$G$4</f>
        <v>Euphrates</v>
      </c>
      <c r="G246" s="7" t="str">
        <f>[238]Sheet2!$G$5</f>
        <v>Syria</v>
      </c>
      <c r="H246" s="7" t="str">
        <f>[238]Sheet2!$H$8</f>
        <v>2</v>
      </c>
      <c r="I246" s="7">
        <f t="shared" si="235"/>
        <v>2</v>
      </c>
      <c r="J246" s="15" t="e">
        <f>[238]Sheet2!$H$9</f>
        <v>#N/A</v>
      </c>
      <c r="K246" s="19">
        <f>[238]Sheet2!$D$9</f>
        <v>1.6967128220379619</v>
      </c>
      <c r="L246" s="9">
        <f>[238]Sheet2!$D$7</f>
        <v>43923</v>
      </c>
      <c r="N246" s="8">
        <f t="shared" si="248"/>
        <v>9999</v>
      </c>
      <c r="O246" s="8">
        <f t="shared" si="249"/>
        <v>9999</v>
      </c>
      <c r="P246" s="8">
        <f t="shared" si="250"/>
        <v>40.814999999999998</v>
      </c>
      <c r="Q246" s="8">
        <f t="shared" si="251"/>
        <v>34.694000000000003</v>
      </c>
      <c r="R246" s="8">
        <f t="shared" si="252"/>
        <v>9999</v>
      </c>
      <c r="S246" s="8">
        <f t="shared" si="253"/>
        <v>9999</v>
      </c>
      <c r="T246" s="8">
        <f t="shared" si="254"/>
        <v>9999</v>
      </c>
      <c r="U246" s="8">
        <f t="shared" si="255"/>
        <v>9999</v>
      </c>
      <c r="V246" s="8">
        <f t="shared" si="258"/>
        <v>9999</v>
      </c>
      <c r="W246" s="8">
        <f t="shared" si="259"/>
        <v>9999</v>
      </c>
    </row>
    <row r="247" spans="1:23" x14ac:dyDescent="0.2">
      <c r="A247" s="7">
        <v>2000</v>
      </c>
      <c r="B247" s="7"/>
      <c r="C247" s="8">
        <f>[239]Sheet2!$J$5</f>
        <v>29.024000000000001</v>
      </c>
      <c r="D247" s="8">
        <f>[239]Sheet2!$J$4</f>
        <v>70.605000000000004</v>
      </c>
      <c r="E247" s="7">
        <f>[239]Sheet2!$D$8</f>
        <v>2733.2576904070916</v>
      </c>
      <c r="F247" s="7" t="str">
        <f>[239]Sheet2!$G$4</f>
        <v>Indus</v>
      </c>
      <c r="G247" s="7" t="str">
        <f>[239]Sheet2!$G$5</f>
        <v>Pakistan</v>
      </c>
      <c r="H247" s="7" t="str">
        <f>[239]Sheet2!$H$8</f>
        <v>1</v>
      </c>
      <c r="I247" s="7">
        <f t="shared" si="235"/>
        <v>1</v>
      </c>
      <c r="J247" s="15" t="e">
        <f>[239]Sheet2!$H$9</f>
        <v>#N/A</v>
      </c>
      <c r="K247" s="19">
        <f>[239]Sheet2!$D$9</f>
        <v>2.9156608962971489</v>
      </c>
      <c r="L247" s="9">
        <f>[239]Sheet2!$D$7</f>
        <v>43922</v>
      </c>
      <c r="N247" s="8">
        <f t="shared" ref="N247:N265" si="260">IF($I247=1,$D247,9999)</f>
        <v>70.605000000000004</v>
      </c>
      <c r="O247" s="8">
        <f t="shared" ref="O247:O265" si="261">IF($I247=1,$C247,9999)</f>
        <v>29.024000000000001</v>
      </c>
      <c r="P247" s="8">
        <f t="shared" ref="P247:P265" si="262">IF($I247=2,$D247,9999)</f>
        <v>9999</v>
      </c>
      <c r="Q247" s="8">
        <f t="shared" ref="Q247:Q265" si="263">IF($I247=2,$C247,9999)</f>
        <v>9999</v>
      </c>
      <c r="R247" s="8">
        <f t="shared" ref="R247:R265" si="264">IF($I247=3,$D247,9999)</f>
        <v>9999</v>
      </c>
      <c r="S247" s="8">
        <f t="shared" ref="S247:S265" si="265">IF($I247=3,$C247,9999)</f>
        <v>9999</v>
      </c>
      <c r="T247" s="8">
        <f t="shared" ref="T247:T265" si="266">IF($I247=4,$D247,9999)</f>
        <v>9999</v>
      </c>
      <c r="U247" s="8">
        <f t="shared" ref="U247:U265" si="267">IF($I247=4,$C247,9999)</f>
        <v>9999</v>
      </c>
      <c r="V247" s="8">
        <f t="shared" si="258"/>
        <v>9999</v>
      </c>
      <c r="W247" s="8">
        <f t="shared" si="259"/>
        <v>9999</v>
      </c>
    </row>
    <row r="248" spans="1:23" x14ac:dyDescent="0.2">
      <c r="A248" s="7">
        <v>2001</v>
      </c>
      <c r="B248" s="7"/>
      <c r="C248" s="8">
        <f>[240]Sheet2!$J$5</f>
        <v>25.874000000000002</v>
      </c>
      <c r="D248" s="8">
        <f>[240]Sheet2!$J$4</f>
        <v>68.265000000000001</v>
      </c>
      <c r="E248" s="7">
        <f>[240]Sheet2!$D$8</f>
        <v>3139.8479142467254</v>
      </c>
      <c r="F248" s="7" t="str">
        <f>[240]Sheet2!$G$4</f>
        <v>Indus</v>
      </c>
      <c r="G248" s="7" t="str">
        <f>[240]Sheet2!$G$5</f>
        <v>Pakistan</v>
      </c>
      <c r="H248" s="7" t="str">
        <f>[240]Sheet2!$H$8</f>
        <v>2</v>
      </c>
      <c r="I248" s="7">
        <f t="shared" si="235"/>
        <v>2</v>
      </c>
      <c r="J248" s="15" t="e">
        <f>[240]Sheet2!$H$9</f>
        <v>#N/A</v>
      </c>
      <c r="K248" s="19">
        <f>[240]Sheet2!$D$9</f>
        <v>2.3567938610827901</v>
      </c>
      <c r="L248" s="9">
        <f>[240]Sheet2!$D$7</f>
        <v>43922</v>
      </c>
      <c r="N248" s="8">
        <f t="shared" si="260"/>
        <v>9999</v>
      </c>
      <c r="O248" s="8">
        <f t="shared" si="261"/>
        <v>9999</v>
      </c>
      <c r="P248" s="8">
        <f t="shared" si="262"/>
        <v>68.265000000000001</v>
      </c>
      <c r="Q248" s="8">
        <f t="shared" si="263"/>
        <v>25.874000000000002</v>
      </c>
      <c r="R248" s="8">
        <f t="shared" si="264"/>
        <v>9999</v>
      </c>
      <c r="S248" s="8">
        <f t="shared" si="265"/>
        <v>9999</v>
      </c>
      <c r="T248" s="8">
        <f t="shared" si="266"/>
        <v>9999</v>
      </c>
      <c r="U248" s="8">
        <f t="shared" si="267"/>
        <v>9999</v>
      </c>
      <c r="V248" s="8">
        <f t="shared" si="258"/>
        <v>9999</v>
      </c>
      <c r="W248" s="8">
        <f t="shared" si="259"/>
        <v>9999</v>
      </c>
    </row>
    <row r="249" spans="1:23" x14ac:dyDescent="0.2">
      <c r="A249" s="7">
        <v>2002</v>
      </c>
      <c r="B249" s="7"/>
      <c r="C249" s="8">
        <f>[241]Sheet2!$J$5</f>
        <v>24.253999999999998</v>
      </c>
      <c r="D249" s="8">
        <f>[241]Sheet2!$J$4</f>
        <v>67.814999999999998</v>
      </c>
      <c r="E249" s="7">
        <f>[241]Sheet2!$D$8</f>
        <v>2656.1274248456139</v>
      </c>
      <c r="F249" s="7" t="str">
        <f>[241]Sheet2!$G$4</f>
        <v>Indus Delta</v>
      </c>
      <c r="G249" s="7" t="str">
        <f>[241]Sheet2!$G$5</f>
        <v>Pakistan</v>
      </c>
      <c r="H249" s="7" t="str">
        <f>[241]Sheet2!$H$8</f>
        <v>1</v>
      </c>
      <c r="I249" s="7">
        <f t="shared" si="235"/>
        <v>1</v>
      </c>
      <c r="J249" s="15" t="e">
        <f>[241]Sheet2!$H$9</f>
        <v>#N/A</v>
      </c>
      <c r="K249" s="19">
        <f>[241]Sheet2!$D$9</f>
        <v>2.3162054313148062</v>
      </c>
      <c r="L249" s="9">
        <f>[241]Sheet2!$D$7</f>
        <v>43923</v>
      </c>
      <c r="N249" s="8">
        <f t="shared" si="260"/>
        <v>67.814999999999998</v>
      </c>
      <c r="O249" s="8">
        <f t="shared" si="261"/>
        <v>24.253999999999998</v>
      </c>
      <c r="P249" s="8">
        <f t="shared" si="262"/>
        <v>9999</v>
      </c>
      <c r="Q249" s="8">
        <f t="shared" si="263"/>
        <v>9999</v>
      </c>
      <c r="R249" s="8">
        <f t="shared" si="264"/>
        <v>9999</v>
      </c>
      <c r="S249" s="8">
        <f t="shared" si="265"/>
        <v>9999</v>
      </c>
      <c r="T249" s="8">
        <f t="shared" si="266"/>
        <v>9999</v>
      </c>
      <c r="U249" s="8">
        <f t="shared" si="267"/>
        <v>9999</v>
      </c>
      <c r="V249" s="8">
        <f t="shared" si="258"/>
        <v>9999</v>
      </c>
      <c r="W249" s="8">
        <f t="shared" si="259"/>
        <v>9999</v>
      </c>
    </row>
    <row r="250" spans="1:23" x14ac:dyDescent="0.2">
      <c r="A250" s="7">
        <v>2007</v>
      </c>
      <c r="B250" s="7"/>
      <c r="C250" s="8">
        <f>[242]Sheet2!$J$5</f>
        <v>18.764000000000003</v>
      </c>
      <c r="D250" s="8">
        <f>[242]Sheet2!$J$4</f>
        <v>80.055000000000007</v>
      </c>
      <c r="E250" s="7">
        <f>[242]Sheet2!$D$8</f>
        <v>5538.4251388761186</v>
      </c>
      <c r="F250" s="7" t="str">
        <f>[242]Sheet2!$G$4</f>
        <v>Wainganga</v>
      </c>
      <c r="G250" s="7" t="str">
        <f>[242]Sheet2!$G$5</f>
        <v>India</v>
      </c>
      <c r="H250" s="7" t="str">
        <f>[242]Sheet2!$H$8</f>
        <v>2</v>
      </c>
      <c r="I250" s="7">
        <f t="shared" si="235"/>
        <v>2</v>
      </c>
      <c r="J250" s="15" t="e">
        <f>[242]Sheet2!$H$9</f>
        <v>#N/A</v>
      </c>
      <c r="K250" s="19">
        <f>[242]Sheet2!$D$9</f>
        <v>14.226250355266707</v>
      </c>
      <c r="L250" s="9">
        <f>[242]Sheet2!$D$7</f>
        <v>43923</v>
      </c>
      <c r="N250" s="8">
        <f t="shared" si="260"/>
        <v>9999</v>
      </c>
      <c r="O250" s="8">
        <f t="shared" si="261"/>
        <v>9999</v>
      </c>
      <c r="P250" s="8">
        <f t="shared" si="262"/>
        <v>80.055000000000007</v>
      </c>
      <c r="Q250" s="8">
        <f t="shared" si="263"/>
        <v>18.764000000000003</v>
      </c>
      <c r="R250" s="8">
        <f t="shared" si="264"/>
        <v>9999</v>
      </c>
      <c r="S250" s="8">
        <f t="shared" si="265"/>
        <v>9999</v>
      </c>
      <c r="T250" s="8">
        <f t="shared" si="266"/>
        <v>9999</v>
      </c>
      <c r="U250" s="8">
        <f t="shared" si="267"/>
        <v>9999</v>
      </c>
      <c r="V250" s="8">
        <f t="shared" si="258"/>
        <v>9999</v>
      </c>
      <c r="W250" s="8">
        <f t="shared" si="259"/>
        <v>9999</v>
      </c>
    </row>
    <row r="251" spans="1:23" x14ac:dyDescent="0.2">
      <c r="A251" s="7">
        <v>2008</v>
      </c>
      <c r="B251" s="7"/>
      <c r="C251" s="8">
        <f>[243]Sheet2!$J$5</f>
        <v>18.223999999999997</v>
      </c>
      <c r="D251" s="8">
        <f>[243]Sheet2!$J$4</f>
        <v>80.594999999999999</v>
      </c>
      <c r="E251" s="7">
        <f>[243]Sheet2!$D$8</f>
        <v>0</v>
      </c>
      <c r="F251" s="7" t="str">
        <f>[243]Sheet2!$G$4</f>
        <v>Godavari</v>
      </c>
      <c r="G251" s="7" t="str">
        <f>[243]Sheet2!$G$5</f>
        <v>India</v>
      </c>
      <c r="H251" s="7" t="str">
        <f>[243]Sheet2!$H$8</f>
        <v>2</v>
      </c>
      <c r="I251" s="7">
        <f t="shared" si="235"/>
        <v>2</v>
      </c>
      <c r="J251" s="15" t="e">
        <f>[243]Sheet2!$H$9</f>
        <v>#N/A</v>
      </c>
      <c r="K251" s="19">
        <f>[243]Sheet2!$D$9</f>
        <v>0</v>
      </c>
      <c r="L251" s="9">
        <f>[243]Sheet2!$D$7</f>
        <v>43923</v>
      </c>
      <c r="N251" s="8">
        <f t="shared" si="260"/>
        <v>9999</v>
      </c>
      <c r="O251" s="8">
        <f t="shared" si="261"/>
        <v>9999</v>
      </c>
      <c r="P251" s="8">
        <f t="shared" si="262"/>
        <v>80.594999999999999</v>
      </c>
      <c r="Q251" s="8">
        <f t="shared" si="263"/>
        <v>18.223999999999997</v>
      </c>
      <c r="R251" s="8">
        <f t="shared" si="264"/>
        <v>9999</v>
      </c>
      <c r="S251" s="8">
        <f t="shared" si="265"/>
        <v>9999</v>
      </c>
      <c r="T251" s="8">
        <f t="shared" si="266"/>
        <v>9999</v>
      </c>
      <c r="U251" s="8">
        <f t="shared" si="267"/>
        <v>9999</v>
      </c>
      <c r="V251" s="8">
        <f t="shared" si="258"/>
        <v>9999</v>
      </c>
      <c r="W251" s="8">
        <f t="shared" si="259"/>
        <v>9999</v>
      </c>
    </row>
    <row r="252" spans="1:23" x14ac:dyDescent="0.2">
      <c r="A252" s="7">
        <v>2009</v>
      </c>
      <c r="B252" s="7"/>
      <c r="C252" s="8">
        <f>[244]Sheet2!$J$5</f>
        <v>17.054000000000002</v>
      </c>
      <c r="D252" s="8">
        <f>[244]Sheet2!$J$4</f>
        <v>81.674999999999997</v>
      </c>
      <c r="E252" s="7">
        <f>[244]Sheet2!$D$8</f>
        <v>1150.6918546313918</v>
      </c>
      <c r="F252" s="7" t="str">
        <f>[244]Sheet2!$G$4</f>
        <v>Godavari</v>
      </c>
      <c r="G252" s="7" t="str">
        <f>[244]Sheet2!$G$5</f>
        <v>India</v>
      </c>
      <c r="H252" s="7" t="str">
        <f>[244]Sheet2!$H$8</f>
        <v>1</v>
      </c>
      <c r="I252" s="7">
        <f t="shared" si="235"/>
        <v>1</v>
      </c>
      <c r="J252" s="15" t="e">
        <f>[244]Sheet2!$H$9</f>
        <v>#N/A</v>
      </c>
      <c r="K252" s="19">
        <f>[244]Sheet2!$D$9</f>
        <v>2.4324329977830681</v>
      </c>
      <c r="L252" s="9">
        <f>[244]Sheet2!$D$7</f>
        <v>43922</v>
      </c>
      <c r="N252" s="8">
        <f t="shared" si="260"/>
        <v>81.674999999999997</v>
      </c>
      <c r="O252" s="8">
        <f t="shared" si="261"/>
        <v>17.054000000000002</v>
      </c>
      <c r="P252" s="8">
        <f t="shared" si="262"/>
        <v>9999</v>
      </c>
      <c r="Q252" s="8">
        <f t="shared" si="263"/>
        <v>9999</v>
      </c>
      <c r="R252" s="8">
        <f t="shared" si="264"/>
        <v>9999</v>
      </c>
      <c r="S252" s="8">
        <f t="shared" si="265"/>
        <v>9999</v>
      </c>
      <c r="T252" s="8">
        <f t="shared" si="266"/>
        <v>9999</v>
      </c>
      <c r="U252" s="8">
        <f t="shared" si="267"/>
        <v>9999</v>
      </c>
      <c r="V252" s="8">
        <f t="shared" si="258"/>
        <v>9999</v>
      </c>
      <c r="W252" s="8">
        <f t="shared" si="259"/>
        <v>9999</v>
      </c>
    </row>
    <row r="253" spans="1:23" x14ac:dyDescent="0.2">
      <c r="A253" s="7">
        <v>2011</v>
      </c>
      <c r="B253" s="7"/>
      <c r="C253" s="8">
        <f>[245]Sheet2!$J$5</f>
        <v>16.603999999999999</v>
      </c>
      <c r="D253" s="8">
        <f>[245]Sheet2!$J$4</f>
        <v>80.414999999999992</v>
      </c>
      <c r="E253" s="7">
        <f>[245]Sheet2!$D$8</f>
        <v>1551.4664872633161</v>
      </c>
      <c r="F253" s="7" t="str">
        <f>[245]Sheet2!$G$4</f>
        <v>Krishna</v>
      </c>
      <c r="G253" s="7" t="str">
        <f>[245]Sheet2!$G$5</f>
        <v>India</v>
      </c>
      <c r="H253" s="7" t="str">
        <f>[245]Sheet2!$H$8</f>
        <v>2</v>
      </c>
      <c r="I253" s="7">
        <f t="shared" si="235"/>
        <v>2</v>
      </c>
      <c r="J253" s="15" t="e">
        <f>[245]Sheet2!$H$9</f>
        <v>#N/A</v>
      </c>
      <c r="K253" s="19">
        <f>[245]Sheet2!$D$9</f>
        <v>3.6209553522952418</v>
      </c>
      <c r="L253" s="9">
        <f>[245]Sheet2!$D$7</f>
        <v>43922</v>
      </c>
      <c r="N253" s="8">
        <f t="shared" si="260"/>
        <v>9999</v>
      </c>
      <c r="O253" s="8">
        <f t="shared" si="261"/>
        <v>9999</v>
      </c>
      <c r="P253" s="8">
        <f t="shared" si="262"/>
        <v>80.414999999999992</v>
      </c>
      <c r="Q253" s="8">
        <f t="shared" si="263"/>
        <v>16.603999999999999</v>
      </c>
      <c r="R253" s="8">
        <f t="shared" si="264"/>
        <v>9999</v>
      </c>
      <c r="S253" s="8">
        <f t="shared" si="265"/>
        <v>9999</v>
      </c>
      <c r="T253" s="8">
        <f t="shared" si="266"/>
        <v>9999</v>
      </c>
      <c r="U253" s="8">
        <f t="shared" si="267"/>
        <v>9999</v>
      </c>
      <c r="V253" s="8">
        <f t="shared" si="258"/>
        <v>9999</v>
      </c>
      <c r="W253" s="8">
        <f t="shared" si="259"/>
        <v>9999</v>
      </c>
    </row>
    <row r="254" spans="1:23" x14ac:dyDescent="0.2">
      <c r="A254" s="7">
        <v>2012</v>
      </c>
      <c r="B254" s="7"/>
      <c r="C254" s="8">
        <f>[246]Sheet2!$J$5</f>
        <v>15.974</v>
      </c>
      <c r="D254" s="8">
        <f>[246]Sheet2!$J$4</f>
        <v>78.254999999999995</v>
      </c>
      <c r="E254" s="7">
        <f>[246]Sheet2!$D$8</f>
        <v>0.83882745386128099</v>
      </c>
      <c r="F254" s="7" t="str">
        <f>[246]Sheet2!$G$4</f>
        <v>Krishna Reservoir</v>
      </c>
      <c r="G254" s="7" t="str">
        <f>[246]Sheet2!$G$5</f>
        <v>India</v>
      </c>
      <c r="H254" s="7" t="str">
        <f>[246]Sheet2!$H$8</f>
        <v>2</v>
      </c>
      <c r="I254" s="7">
        <f t="shared" si="235"/>
        <v>2</v>
      </c>
      <c r="J254" s="15"/>
      <c r="K254" s="19"/>
      <c r="L254" s="9">
        <f>[246]Sheet2!$D$7</f>
        <v>43923</v>
      </c>
      <c r="N254" s="8">
        <f t="shared" si="260"/>
        <v>9999</v>
      </c>
      <c r="O254" s="8">
        <f t="shared" si="261"/>
        <v>9999</v>
      </c>
      <c r="P254" s="8">
        <f t="shared" si="262"/>
        <v>78.254999999999995</v>
      </c>
      <c r="Q254" s="8">
        <f t="shared" si="263"/>
        <v>15.974</v>
      </c>
      <c r="R254" s="8">
        <f t="shared" si="264"/>
        <v>9999</v>
      </c>
      <c r="S254" s="8">
        <f t="shared" si="265"/>
        <v>9999</v>
      </c>
      <c r="T254" s="8">
        <f t="shared" si="266"/>
        <v>9999</v>
      </c>
      <c r="U254" s="8">
        <f t="shared" si="267"/>
        <v>9999</v>
      </c>
      <c r="V254" s="8">
        <f t="shared" si="258"/>
        <v>9999</v>
      </c>
      <c r="W254" s="8">
        <f t="shared" si="259"/>
        <v>9999</v>
      </c>
    </row>
    <row r="255" spans="1:23" x14ac:dyDescent="0.2">
      <c r="A255" s="7">
        <v>2015</v>
      </c>
      <c r="B255" s="7"/>
      <c r="C255" s="8">
        <f>[247]Sheet2!$J$5</f>
        <v>24.884</v>
      </c>
      <c r="D255" s="8">
        <f>[247]Sheet2!$J$4</f>
        <v>84.194999999999993</v>
      </c>
      <c r="E255" s="7">
        <f>[247]Sheet2!$D$8</f>
        <v>624.70419691337156</v>
      </c>
      <c r="F255" s="7" t="str">
        <f>[247]Sheet2!$G$4</f>
        <v>Son</v>
      </c>
      <c r="G255" s="7" t="s">
        <v>21</v>
      </c>
      <c r="H255" s="7" t="str">
        <f>[247]Sheet2!$H$8</f>
        <v>2</v>
      </c>
      <c r="I255" s="7">
        <f t="shared" si="235"/>
        <v>2</v>
      </c>
      <c r="J255" s="15" t="e">
        <f>[247]Sheet2!$H$9</f>
        <v>#N/A</v>
      </c>
      <c r="K255" s="19">
        <f>[247]Sheet2!$D$9</f>
        <v>6.2322226463440931</v>
      </c>
      <c r="L255" s="9">
        <f>[247]Sheet2!$D$7</f>
        <v>43923</v>
      </c>
      <c r="N255" s="8">
        <f t="shared" si="260"/>
        <v>9999</v>
      </c>
      <c r="O255" s="8">
        <f t="shared" si="261"/>
        <v>9999</v>
      </c>
      <c r="P255" s="8">
        <f t="shared" si="262"/>
        <v>84.194999999999993</v>
      </c>
      <c r="Q255" s="8">
        <f t="shared" si="263"/>
        <v>24.884</v>
      </c>
      <c r="R255" s="8">
        <f t="shared" si="264"/>
        <v>9999</v>
      </c>
      <c r="S255" s="8">
        <f t="shared" si="265"/>
        <v>9999</v>
      </c>
      <c r="T255" s="8">
        <f t="shared" si="266"/>
        <v>9999</v>
      </c>
      <c r="U255" s="8">
        <f t="shared" si="267"/>
        <v>9999</v>
      </c>
      <c r="V255" s="8">
        <f t="shared" si="258"/>
        <v>9999</v>
      </c>
      <c r="W255" s="8">
        <f t="shared" si="259"/>
        <v>9999</v>
      </c>
    </row>
    <row r="256" spans="1:23" x14ac:dyDescent="0.2">
      <c r="A256" s="7">
        <v>2016</v>
      </c>
      <c r="B256" s="7"/>
      <c r="C256" s="8">
        <f>[248]Sheet2!$J$5</f>
        <v>23.533999999999999</v>
      </c>
      <c r="D256" s="8">
        <f>[248]Sheet2!$J$4</f>
        <v>88.335000000000008</v>
      </c>
      <c r="E256" s="7">
        <f>[248]Sheet2!$D$8</f>
        <v>73.244920548181369</v>
      </c>
      <c r="F256" s="7" t="str">
        <f>[248]Sheet2!$G$4</f>
        <v>Hugli</v>
      </c>
      <c r="G256" s="7" t="s">
        <v>21</v>
      </c>
      <c r="H256" s="7" t="str">
        <f>[248]Sheet2!$H$8</f>
        <v>2</v>
      </c>
      <c r="I256" s="7">
        <f t="shared" si="235"/>
        <v>2</v>
      </c>
      <c r="J256" s="15" t="e">
        <f>[248]Sheet2!$H$9</f>
        <v>#N/A</v>
      </c>
      <c r="K256" s="19">
        <f>[248]Sheet2!$D$9</f>
        <v>2.3723531501073669</v>
      </c>
      <c r="L256" s="9">
        <f>[248]Sheet2!$D$7</f>
        <v>43923</v>
      </c>
      <c r="N256" s="8">
        <f t="shared" si="260"/>
        <v>9999</v>
      </c>
      <c r="O256" s="8">
        <f t="shared" si="261"/>
        <v>9999</v>
      </c>
      <c r="P256" s="8">
        <f t="shared" si="262"/>
        <v>88.335000000000008</v>
      </c>
      <c r="Q256" s="8">
        <f t="shared" si="263"/>
        <v>23.533999999999999</v>
      </c>
      <c r="R256" s="8">
        <f t="shared" si="264"/>
        <v>9999</v>
      </c>
      <c r="S256" s="8">
        <f t="shared" si="265"/>
        <v>9999</v>
      </c>
      <c r="T256" s="8">
        <f t="shared" si="266"/>
        <v>9999</v>
      </c>
      <c r="U256" s="8">
        <f t="shared" si="267"/>
        <v>9999</v>
      </c>
      <c r="V256" s="8">
        <f t="shared" si="258"/>
        <v>9999</v>
      </c>
      <c r="W256" s="8">
        <f t="shared" si="259"/>
        <v>9999</v>
      </c>
    </row>
    <row r="257" spans="1:23" x14ac:dyDescent="0.2">
      <c r="A257" s="7">
        <v>2029</v>
      </c>
      <c r="B257" s="7"/>
      <c r="C257" s="8">
        <f>[249]Sheet2!$J$5</f>
        <v>20.744</v>
      </c>
      <c r="D257" s="8">
        <f>[249]Sheet2!$J$4</f>
        <v>84.465000000000003</v>
      </c>
      <c r="E257" s="7">
        <f>[249]Sheet2!$D$8</f>
        <v>2170.0339491753839</v>
      </c>
      <c r="F257" s="7" t="str">
        <f>[249]Sheet2!$G$4</f>
        <v>Mahanadi</v>
      </c>
      <c r="G257" s="7" t="str">
        <f>[249]Sheet2!$G$5</f>
        <v>India</v>
      </c>
      <c r="H257" s="7" t="str">
        <f>[249]Sheet2!$H$8</f>
        <v>2</v>
      </c>
      <c r="I257" s="7">
        <f t="shared" si="235"/>
        <v>2</v>
      </c>
      <c r="J257" s="15" t="e">
        <f>[249]Sheet2!$H$9</f>
        <v>#N/A</v>
      </c>
      <c r="K257" s="19">
        <f>[249]Sheet2!$D$9</f>
        <v>8.9507157878087718</v>
      </c>
      <c r="L257" s="9">
        <f>[249]Sheet2!$D$7</f>
        <v>43923</v>
      </c>
      <c r="N257" s="8">
        <f t="shared" si="260"/>
        <v>9999</v>
      </c>
      <c r="O257" s="8">
        <f t="shared" si="261"/>
        <v>9999</v>
      </c>
      <c r="P257" s="8">
        <f t="shared" si="262"/>
        <v>84.465000000000003</v>
      </c>
      <c r="Q257" s="8">
        <f t="shared" si="263"/>
        <v>20.744</v>
      </c>
      <c r="R257" s="8">
        <f t="shared" si="264"/>
        <v>9999</v>
      </c>
      <c r="S257" s="8">
        <f t="shared" si="265"/>
        <v>9999</v>
      </c>
      <c r="T257" s="8">
        <f t="shared" si="266"/>
        <v>9999</v>
      </c>
      <c r="U257" s="8">
        <f t="shared" si="267"/>
        <v>9999</v>
      </c>
      <c r="V257" s="8">
        <f t="shared" ref="V257:V273" si="268">IF($I257=0,$D257,9999)</f>
        <v>9999</v>
      </c>
      <c r="W257" s="8">
        <f t="shared" ref="W257:W273" si="269">IF($I257=0,$C257,9999)</f>
        <v>9999</v>
      </c>
    </row>
    <row r="258" spans="1:23" x14ac:dyDescent="0.2">
      <c r="A258" s="7">
        <v>2031</v>
      </c>
      <c r="B258" s="7"/>
      <c r="C258" s="8">
        <f>[250]Sheet2!$J$5</f>
        <v>21.734000000000002</v>
      </c>
      <c r="D258" s="8">
        <f>[250]Sheet2!$J$4</f>
        <v>83.114999999999995</v>
      </c>
      <c r="E258" s="7">
        <f>[250]Sheet2!$D$8</f>
        <v>1192.5874896349851</v>
      </c>
      <c r="F258" s="7" t="str">
        <f>[250]Sheet2!$G$4</f>
        <v>Mahanadi</v>
      </c>
      <c r="G258" s="7" t="str">
        <f>[250]Sheet2!$G$5</f>
        <v>India</v>
      </c>
      <c r="H258" s="7" t="str">
        <f>[250]Sheet2!$H$8</f>
        <v>2</v>
      </c>
      <c r="I258" s="7">
        <f t="shared" si="235"/>
        <v>2</v>
      </c>
      <c r="J258" s="15" t="e">
        <f>[250]Sheet2!$H$9</f>
        <v>#N/A</v>
      </c>
      <c r="K258" s="19">
        <f>[250]Sheet2!$D$9</f>
        <v>12.536065062972106</v>
      </c>
      <c r="L258" s="9">
        <f>[250]Sheet2!$D$7</f>
        <v>43923</v>
      </c>
      <c r="N258" s="8">
        <f t="shared" si="260"/>
        <v>9999</v>
      </c>
      <c r="O258" s="8">
        <f t="shared" si="261"/>
        <v>9999</v>
      </c>
      <c r="P258" s="8">
        <f t="shared" si="262"/>
        <v>83.114999999999995</v>
      </c>
      <c r="Q258" s="8">
        <f t="shared" si="263"/>
        <v>21.734000000000002</v>
      </c>
      <c r="R258" s="8">
        <f t="shared" si="264"/>
        <v>9999</v>
      </c>
      <c r="S258" s="8">
        <f t="shared" si="265"/>
        <v>9999</v>
      </c>
      <c r="T258" s="8">
        <f t="shared" si="266"/>
        <v>9999</v>
      </c>
      <c r="U258" s="8">
        <f t="shared" si="267"/>
        <v>9999</v>
      </c>
      <c r="V258" s="8">
        <f t="shared" si="268"/>
        <v>9999</v>
      </c>
      <c r="W258" s="8">
        <f t="shared" si="269"/>
        <v>9999</v>
      </c>
    </row>
    <row r="259" spans="1:23" x14ac:dyDescent="0.2">
      <c r="A259" s="7">
        <v>2034</v>
      </c>
      <c r="B259" s="7"/>
      <c r="C259" s="8">
        <f>[251]Sheet2!$J$5</f>
        <v>20.654000000000003</v>
      </c>
      <c r="D259" s="8">
        <f>[251]Sheet2!$J$4</f>
        <v>79.875</v>
      </c>
      <c r="E259" s="7">
        <f>[251]Sheet2!$D$8</f>
        <v>1123.5094129912213</v>
      </c>
      <c r="F259" s="7" t="str">
        <f>[251]Sheet2!$G$4</f>
        <v>Wainganga</v>
      </c>
      <c r="G259" s="7" t="str">
        <f>[251]Sheet2!$G$5</f>
        <v>India</v>
      </c>
      <c r="H259" s="7" t="str">
        <f>[251]Sheet2!$H$8</f>
        <v>2</v>
      </c>
      <c r="I259" s="7">
        <f t="shared" si="235"/>
        <v>2</v>
      </c>
      <c r="J259" s="15" t="e">
        <f>[251]Sheet2!$H$9</f>
        <v>#N/A</v>
      </c>
      <c r="K259" s="19">
        <f>[251]Sheet2!$D$9</f>
        <v>19.998959739393406</v>
      </c>
      <c r="L259" s="9">
        <f>[251]Sheet2!$D$7</f>
        <v>43923</v>
      </c>
      <c r="N259" s="8">
        <f t="shared" si="260"/>
        <v>9999</v>
      </c>
      <c r="O259" s="8">
        <f t="shared" si="261"/>
        <v>9999</v>
      </c>
      <c r="P259" s="8">
        <f t="shared" si="262"/>
        <v>79.875</v>
      </c>
      <c r="Q259" s="8">
        <f t="shared" si="263"/>
        <v>20.654000000000003</v>
      </c>
      <c r="R259" s="8">
        <f t="shared" si="264"/>
        <v>9999</v>
      </c>
      <c r="S259" s="8">
        <f t="shared" si="265"/>
        <v>9999</v>
      </c>
      <c r="T259" s="8">
        <f t="shared" si="266"/>
        <v>9999</v>
      </c>
      <c r="U259" s="8">
        <f t="shared" si="267"/>
        <v>9999</v>
      </c>
      <c r="V259" s="8">
        <f t="shared" si="268"/>
        <v>9999</v>
      </c>
      <c r="W259" s="8">
        <f t="shared" si="269"/>
        <v>9999</v>
      </c>
    </row>
    <row r="260" spans="1:23" x14ac:dyDescent="0.2">
      <c r="A260" s="7">
        <v>2035</v>
      </c>
      <c r="B260" s="7"/>
      <c r="C260" s="8">
        <f>[252]Sheet2!$J$5</f>
        <v>21.194000000000003</v>
      </c>
      <c r="D260" s="8">
        <f>[252]Sheet2!$J$4</f>
        <v>79.694999999999993</v>
      </c>
      <c r="E260" s="7">
        <f>[252]Sheet2!$D$8</f>
        <v>289.73032192818317</v>
      </c>
      <c r="F260" s="7" t="str">
        <f>[252]Sheet2!$G$4</f>
        <v>Wainganga</v>
      </c>
      <c r="G260" s="7" t="str">
        <f>[252]Sheet2!$G$5</f>
        <v>India</v>
      </c>
      <c r="H260" s="7" t="str">
        <f>[252]Sheet2!$H$8</f>
        <v>2</v>
      </c>
      <c r="I260" s="7">
        <f t="shared" si="235"/>
        <v>2</v>
      </c>
      <c r="J260" s="15" t="e">
        <f>[252]Sheet2!$H$9</f>
        <v>#N/A</v>
      </c>
      <c r="K260" s="19">
        <f>[252]Sheet2!$D$9</f>
        <v>8.536721035185586</v>
      </c>
      <c r="L260" s="9">
        <f>[252]Sheet2!$D$7</f>
        <v>43923</v>
      </c>
      <c r="N260" s="8">
        <f t="shared" si="260"/>
        <v>9999</v>
      </c>
      <c r="O260" s="8">
        <f t="shared" si="261"/>
        <v>9999</v>
      </c>
      <c r="P260" s="8">
        <f t="shared" si="262"/>
        <v>79.694999999999993</v>
      </c>
      <c r="Q260" s="8">
        <f t="shared" si="263"/>
        <v>21.194000000000003</v>
      </c>
      <c r="R260" s="8">
        <f t="shared" si="264"/>
        <v>9999</v>
      </c>
      <c r="S260" s="8">
        <f t="shared" si="265"/>
        <v>9999</v>
      </c>
      <c r="T260" s="8">
        <f t="shared" si="266"/>
        <v>9999</v>
      </c>
      <c r="U260" s="8">
        <f t="shared" si="267"/>
        <v>9999</v>
      </c>
      <c r="V260" s="8">
        <f t="shared" si="268"/>
        <v>9999</v>
      </c>
      <c r="W260" s="8">
        <f t="shared" si="269"/>
        <v>9999</v>
      </c>
    </row>
    <row r="261" spans="1:23" x14ac:dyDescent="0.2">
      <c r="A261" s="7">
        <v>2036</v>
      </c>
      <c r="B261" s="7"/>
      <c r="C261" s="8">
        <f>[253]Sheet2!$J$5</f>
        <v>19.484000000000002</v>
      </c>
      <c r="D261" s="8">
        <f>[253]Sheet2!$J$4</f>
        <v>79.965000000000003</v>
      </c>
      <c r="E261" s="7">
        <f>[253]Sheet2!$D$8</f>
        <v>1067.3292056947257</v>
      </c>
      <c r="F261" s="7" t="str">
        <f>[253]Sheet2!$G$4</f>
        <v>Wainganga</v>
      </c>
      <c r="G261" s="7" t="str">
        <f>[253]Sheet2!$G$5</f>
        <v>India</v>
      </c>
      <c r="H261" s="7" t="str">
        <f>[253]Sheet2!$H$8</f>
        <v>2</v>
      </c>
      <c r="I261" s="7">
        <f t="shared" si="235"/>
        <v>2</v>
      </c>
      <c r="J261" s="15" t="e">
        <f>[253]Sheet2!$H$9</f>
        <v>#N/A</v>
      </c>
      <c r="K261" s="19">
        <f>[253]Sheet2!$D$9</f>
        <v>4.3823034253515845</v>
      </c>
      <c r="L261" s="9">
        <f>[253]Sheet2!$D$7</f>
        <v>43923</v>
      </c>
      <c r="N261" s="8">
        <f t="shared" si="260"/>
        <v>9999</v>
      </c>
      <c r="O261" s="8">
        <f t="shared" si="261"/>
        <v>9999</v>
      </c>
      <c r="P261" s="8">
        <f t="shared" si="262"/>
        <v>79.965000000000003</v>
      </c>
      <c r="Q261" s="8">
        <f t="shared" si="263"/>
        <v>19.484000000000002</v>
      </c>
      <c r="R261" s="8">
        <f t="shared" si="264"/>
        <v>9999</v>
      </c>
      <c r="S261" s="8">
        <f t="shared" si="265"/>
        <v>9999</v>
      </c>
      <c r="T261" s="8">
        <f t="shared" si="266"/>
        <v>9999</v>
      </c>
      <c r="U261" s="8">
        <f t="shared" si="267"/>
        <v>9999</v>
      </c>
      <c r="V261" s="8">
        <f t="shared" si="268"/>
        <v>9999</v>
      </c>
      <c r="W261" s="8">
        <f t="shared" si="269"/>
        <v>9999</v>
      </c>
    </row>
    <row r="262" spans="1:23" x14ac:dyDescent="0.2">
      <c r="A262" s="7">
        <v>2041</v>
      </c>
      <c r="B262" s="7"/>
      <c r="C262" s="8">
        <f>[254]Sheet2!$J$5</f>
        <v>13.904</v>
      </c>
      <c r="D262" s="8">
        <f>[254]Sheet2!$J$4</f>
        <v>79.875</v>
      </c>
      <c r="E262" s="7">
        <f>[254]Sheet2!$D$8</f>
        <v>17.590856309770647</v>
      </c>
      <c r="F262" s="7" t="str">
        <f>[254]Sheet2!$G$4</f>
        <v>Nayudupeta</v>
      </c>
      <c r="G262" s="7" t="s">
        <v>21</v>
      </c>
      <c r="H262" s="7" t="str">
        <f>[254]Sheet2!$H$8</f>
        <v>2</v>
      </c>
      <c r="I262" s="7">
        <f t="shared" si="235"/>
        <v>2</v>
      </c>
      <c r="J262" s="15" t="e">
        <f>[254]Sheet2!$H$9</f>
        <v>#N/A</v>
      </c>
      <c r="K262" s="19">
        <f>[254]Sheet2!$D$9</f>
        <v>2.7099093505042471</v>
      </c>
      <c r="L262" s="9">
        <f>[254]Sheet2!$D$7</f>
        <v>43919</v>
      </c>
      <c r="N262" s="8">
        <f t="shared" si="260"/>
        <v>9999</v>
      </c>
      <c r="O262" s="8">
        <f t="shared" si="261"/>
        <v>9999</v>
      </c>
      <c r="P262" s="8">
        <f t="shared" si="262"/>
        <v>79.875</v>
      </c>
      <c r="Q262" s="8">
        <f t="shared" si="263"/>
        <v>13.904</v>
      </c>
      <c r="R262" s="8">
        <f t="shared" si="264"/>
        <v>9999</v>
      </c>
      <c r="S262" s="8">
        <f t="shared" si="265"/>
        <v>9999</v>
      </c>
      <c r="T262" s="8">
        <f t="shared" si="266"/>
        <v>9999</v>
      </c>
      <c r="U262" s="8">
        <f t="shared" si="267"/>
        <v>9999</v>
      </c>
      <c r="V262" s="8">
        <f t="shared" si="268"/>
        <v>9999</v>
      </c>
      <c r="W262" s="8">
        <f t="shared" si="269"/>
        <v>9999</v>
      </c>
    </row>
    <row r="263" spans="1:23" x14ac:dyDescent="0.2">
      <c r="A263" s="7">
        <v>2042</v>
      </c>
      <c r="B263" s="7"/>
      <c r="C263" s="8">
        <f>[255]Sheet2!$J$5</f>
        <v>10.843999999999999</v>
      </c>
      <c r="D263" s="8">
        <f>[255]Sheet2!$J$4</f>
        <v>78.885000000000005</v>
      </c>
      <c r="E263" s="7">
        <f>[255]Sheet2!$D$8</f>
        <v>624.30168423596547</v>
      </c>
      <c r="F263" s="7" t="str">
        <f>[255]Sheet2!$G$4</f>
        <v>Cauvery</v>
      </c>
      <c r="G263" s="7" t="s">
        <v>21</v>
      </c>
      <c r="H263" s="7" t="str">
        <f>[255]Sheet2!$H$8</f>
        <v>2</v>
      </c>
      <c r="I263" s="7">
        <f t="shared" si="235"/>
        <v>2</v>
      </c>
      <c r="J263" s="15" t="e">
        <f>[255]Sheet2!$H$9</f>
        <v>#N/A</v>
      </c>
      <c r="K263" s="19">
        <f>[255]Sheet2!$D$9</f>
        <v>4.227046277277422</v>
      </c>
      <c r="L263" s="9">
        <f>[255]Sheet2!$D$7</f>
        <v>43921</v>
      </c>
      <c r="N263" s="8">
        <f t="shared" si="260"/>
        <v>9999</v>
      </c>
      <c r="O263" s="8">
        <f t="shared" si="261"/>
        <v>9999</v>
      </c>
      <c r="P263" s="8">
        <f t="shared" si="262"/>
        <v>78.885000000000005</v>
      </c>
      <c r="Q263" s="8">
        <f t="shared" si="263"/>
        <v>10.843999999999999</v>
      </c>
      <c r="R263" s="8">
        <f t="shared" si="264"/>
        <v>9999</v>
      </c>
      <c r="S263" s="8">
        <f t="shared" si="265"/>
        <v>9999</v>
      </c>
      <c r="T263" s="8">
        <f t="shared" si="266"/>
        <v>9999</v>
      </c>
      <c r="U263" s="8">
        <f t="shared" si="267"/>
        <v>9999</v>
      </c>
      <c r="V263" s="8">
        <f t="shared" si="268"/>
        <v>9999</v>
      </c>
      <c r="W263" s="8">
        <f t="shared" si="269"/>
        <v>9999</v>
      </c>
    </row>
    <row r="264" spans="1:23" x14ac:dyDescent="0.2">
      <c r="A264" s="7">
        <v>2043</v>
      </c>
      <c r="B264" s="7"/>
      <c r="C264" s="8">
        <f>[256]Sheet2!$J$5</f>
        <v>11.204000000000001</v>
      </c>
      <c r="D264" s="8">
        <f>[256]Sheet2!$J$4</f>
        <v>79.605000000000004</v>
      </c>
      <c r="E264" s="7">
        <f>[256]Sheet2!$D$8</f>
        <v>1079.237447138159</v>
      </c>
      <c r="F264" s="7" t="str">
        <f>[256]Sheet2!$G$4</f>
        <v>Cauvery Delta</v>
      </c>
      <c r="G264" s="7" t="s">
        <v>21</v>
      </c>
      <c r="H264" s="7" t="str">
        <f>[256]Sheet2!$H$8</f>
        <v>2</v>
      </c>
      <c r="I264" s="7">
        <f t="shared" si="235"/>
        <v>2</v>
      </c>
      <c r="J264" s="15" t="e">
        <f>[256]Sheet2!$H$9</f>
        <v>#N/A</v>
      </c>
      <c r="K264" s="19">
        <f>[256]Sheet2!$D$9</f>
        <v>7.3547193735897487</v>
      </c>
      <c r="L264" s="9">
        <f>[256]Sheet2!$D$7</f>
        <v>43922</v>
      </c>
      <c r="N264" s="8">
        <f t="shared" si="260"/>
        <v>9999</v>
      </c>
      <c r="O264" s="8">
        <f t="shared" si="261"/>
        <v>9999</v>
      </c>
      <c r="P264" s="8">
        <f t="shared" si="262"/>
        <v>79.605000000000004</v>
      </c>
      <c r="Q264" s="8">
        <f t="shared" si="263"/>
        <v>11.204000000000001</v>
      </c>
      <c r="R264" s="8">
        <f t="shared" si="264"/>
        <v>9999</v>
      </c>
      <c r="S264" s="8">
        <f t="shared" si="265"/>
        <v>9999</v>
      </c>
      <c r="T264" s="8">
        <f t="shared" si="266"/>
        <v>9999</v>
      </c>
      <c r="U264" s="8">
        <f t="shared" si="267"/>
        <v>9999</v>
      </c>
      <c r="V264" s="8">
        <f t="shared" si="268"/>
        <v>9999</v>
      </c>
      <c r="W264" s="8">
        <f t="shared" si="269"/>
        <v>9999</v>
      </c>
    </row>
    <row r="265" spans="1:23" x14ac:dyDescent="0.2">
      <c r="A265" s="7">
        <v>2047</v>
      </c>
      <c r="B265" s="7"/>
      <c r="C265" s="8">
        <f>[257]Sheet2!$J$5</f>
        <v>46.664000000000001</v>
      </c>
      <c r="D265" s="8">
        <f>[257]Sheet2!$J$4</f>
        <v>29.744999999999997</v>
      </c>
      <c r="E265" s="7">
        <f>[257]Sheet2!$D$8</f>
        <v>290.48451045041759</v>
      </c>
      <c r="F265" s="7" t="str">
        <f>[257]Sheet2!$G$4</f>
        <v>Dnestr</v>
      </c>
      <c r="G265" s="7" t="str">
        <f>[257]Sheet2!$G$5</f>
        <v>Moldova</v>
      </c>
      <c r="H265" s="7" t="str">
        <f>[257]Sheet2!$H$8</f>
        <v>2</v>
      </c>
      <c r="I265" s="7">
        <f t="shared" si="235"/>
        <v>2</v>
      </c>
      <c r="J265" s="15" t="e">
        <f>[257]Sheet2!$H$9</f>
        <v>#N/A</v>
      </c>
      <c r="K265" s="19">
        <f>[257]Sheet2!$D$9</f>
        <v>2.4782305620499363</v>
      </c>
      <c r="L265" s="9">
        <f>[257]Sheet2!$D$7</f>
        <v>43923</v>
      </c>
      <c r="N265" s="8">
        <f t="shared" si="260"/>
        <v>9999</v>
      </c>
      <c r="O265" s="8">
        <f t="shared" si="261"/>
        <v>9999</v>
      </c>
      <c r="P265" s="8">
        <f t="shared" si="262"/>
        <v>29.744999999999997</v>
      </c>
      <c r="Q265" s="8">
        <f t="shared" si="263"/>
        <v>46.664000000000001</v>
      </c>
      <c r="R265" s="8">
        <f t="shared" si="264"/>
        <v>9999</v>
      </c>
      <c r="S265" s="8">
        <f t="shared" si="265"/>
        <v>9999</v>
      </c>
      <c r="T265" s="8">
        <f t="shared" si="266"/>
        <v>9999</v>
      </c>
      <c r="U265" s="8">
        <f t="shared" si="267"/>
        <v>9999</v>
      </c>
      <c r="V265" s="8">
        <f t="shared" si="268"/>
        <v>9999</v>
      </c>
      <c r="W265" s="8">
        <f t="shared" si="269"/>
        <v>9999</v>
      </c>
    </row>
    <row r="266" spans="1:23" x14ac:dyDescent="0.2">
      <c r="A266" s="7">
        <v>2074</v>
      </c>
      <c r="B266" s="7"/>
      <c r="C266" s="8">
        <f>[258]Sheet2!$J$5</f>
        <v>38.923999999999999</v>
      </c>
      <c r="D266" s="8">
        <f>[258]Sheet2!$J$4</f>
        <v>106.785</v>
      </c>
      <c r="E266" s="7">
        <f>[258]Sheet2!$D$8</f>
        <v>508.22885400480209</v>
      </c>
      <c r="F266" s="7" t="str">
        <f>[258]Sheet2!$G$4</f>
        <v>Yellow (Huang He)</v>
      </c>
      <c r="G266" s="7" t="str">
        <f>[258]Sheet2!$G$5</f>
        <v>China</v>
      </c>
      <c r="H266" s="7" t="str">
        <f>[258]Sheet2!$H$8</f>
        <v>1</v>
      </c>
      <c r="I266" s="7">
        <f t="shared" si="235"/>
        <v>1</v>
      </c>
      <c r="J266" s="15" t="e">
        <f>[258]Sheet2!$H$9</f>
        <v>#N/A</v>
      </c>
      <c r="K266" s="19">
        <f>[258]Sheet2!$D$9</f>
        <v>1.2702734045572452</v>
      </c>
      <c r="L266" s="9">
        <f>[258]Sheet2!$D$7</f>
        <v>43923</v>
      </c>
      <c r="N266" s="8">
        <f t="shared" ref="N266:N280" si="270">IF($I266=1,$D266,9999)</f>
        <v>106.785</v>
      </c>
      <c r="O266" s="8">
        <f t="shared" ref="O266:O280" si="271">IF($I266=1,$C266,9999)</f>
        <v>38.923999999999999</v>
      </c>
      <c r="P266" s="8">
        <f t="shared" ref="P266:P280" si="272">IF($I266=2,$D266,9999)</f>
        <v>9999</v>
      </c>
      <c r="Q266" s="8">
        <f t="shared" ref="Q266:Q280" si="273">IF($I266=2,$C266,9999)</f>
        <v>9999</v>
      </c>
      <c r="R266" s="8">
        <f t="shared" ref="R266:R280" si="274">IF($I266=3,$D266,9999)</f>
        <v>9999</v>
      </c>
      <c r="S266" s="8">
        <f t="shared" ref="S266:S280" si="275">IF($I266=3,$C266,9999)</f>
        <v>9999</v>
      </c>
      <c r="T266" s="8">
        <f t="shared" ref="T266:T280" si="276">IF($I266=4,$D266,9999)</f>
        <v>9999</v>
      </c>
      <c r="U266" s="8">
        <f t="shared" ref="U266:U280" si="277">IF($I266=4,$C266,9999)</f>
        <v>9999</v>
      </c>
      <c r="V266" s="8">
        <f t="shared" si="268"/>
        <v>9999</v>
      </c>
      <c r="W266" s="8">
        <f t="shared" si="269"/>
        <v>9999</v>
      </c>
    </row>
    <row r="267" spans="1:23" x14ac:dyDescent="0.2">
      <c r="A267" s="7">
        <v>2075</v>
      </c>
      <c r="B267" s="7"/>
      <c r="C267" s="8">
        <f>[259]Sheet2!$J$5</f>
        <v>37.573999999999998</v>
      </c>
      <c r="D267" s="8">
        <f>[259]Sheet2!$J$4</f>
        <v>105.795</v>
      </c>
      <c r="E267" s="7">
        <f>[259]Sheet2!$D$8</f>
        <v>1611.9419394725128</v>
      </c>
      <c r="F267" s="7" t="str">
        <f>[259]Sheet2!$G$4</f>
        <v>Yellow (Huang He)</v>
      </c>
      <c r="G267" s="7" t="str">
        <f>[259]Sheet2!$G$5</f>
        <v>China</v>
      </c>
      <c r="H267" s="7" t="str">
        <f>[259]Sheet2!$H$8</f>
        <v>2</v>
      </c>
      <c r="I267" s="7">
        <f t="shared" si="235"/>
        <v>2</v>
      </c>
      <c r="J267" s="15" t="e">
        <f>[259]Sheet2!$H$9</f>
        <v>#N/A</v>
      </c>
      <c r="K267" s="19">
        <f>[259]Sheet2!$D$9</f>
        <v>3.5471749347525141</v>
      </c>
      <c r="L267" s="9">
        <f>[259]Sheet2!$D$7</f>
        <v>43923</v>
      </c>
      <c r="N267" s="8">
        <f t="shared" si="270"/>
        <v>9999</v>
      </c>
      <c r="O267" s="8">
        <f t="shared" si="271"/>
        <v>9999</v>
      </c>
      <c r="P267" s="8">
        <f t="shared" si="272"/>
        <v>105.795</v>
      </c>
      <c r="Q267" s="8">
        <f t="shared" si="273"/>
        <v>37.573999999999998</v>
      </c>
      <c r="R267" s="8">
        <f t="shared" si="274"/>
        <v>9999</v>
      </c>
      <c r="S267" s="8">
        <f t="shared" si="275"/>
        <v>9999</v>
      </c>
      <c r="T267" s="8">
        <f t="shared" si="276"/>
        <v>9999</v>
      </c>
      <c r="U267" s="8">
        <f t="shared" si="277"/>
        <v>9999</v>
      </c>
      <c r="V267" s="8">
        <f t="shared" si="268"/>
        <v>9999</v>
      </c>
      <c r="W267" s="8">
        <f t="shared" si="269"/>
        <v>9999</v>
      </c>
    </row>
    <row r="268" spans="1:23" x14ac:dyDescent="0.2">
      <c r="A268" s="7">
        <v>2077</v>
      </c>
      <c r="B268" s="7"/>
      <c r="C268" s="8">
        <f>[260]Sheet2!$J$5</f>
        <v>35.504000000000005</v>
      </c>
      <c r="D268" s="8">
        <f>[260]Sheet2!$J$4</f>
        <v>110.565</v>
      </c>
      <c r="E268" s="7">
        <f>[260]Sheet2!$D$8</f>
        <v>2520.0379424137323</v>
      </c>
      <c r="F268" s="7" t="str">
        <f>[260]Sheet2!$G$4</f>
        <v>Yellow (Huang He)</v>
      </c>
      <c r="G268" s="7" t="str">
        <f>[260]Sheet2!$G$5</f>
        <v>China</v>
      </c>
      <c r="H268" s="7" t="str">
        <f>[260]Sheet2!$H$8</f>
        <v>2</v>
      </c>
      <c r="I268" s="7">
        <f t="shared" ref="I268" si="278">VALUE(H268)</f>
        <v>2</v>
      </c>
      <c r="J268" s="15" t="e">
        <f>[260]Sheet2!$H$9</f>
        <v>#N/A</v>
      </c>
      <c r="K268" s="19">
        <f>[260]Sheet2!$D$9</f>
        <v>3.2478146421022243</v>
      </c>
      <c r="L268" s="9">
        <f>[260]Sheet2!$D$7</f>
        <v>43923</v>
      </c>
      <c r="N268" s="8">
        <f t="shared" si="270"/>
        <v>9999</v>
      </c>
      <c r="O268" s="8">
        <f t="shared" si="271"/>
        <v>9999</v>
      </c>
      <c r="P268" s="8">
        <f t="shared" si="272"/>
        <v>110.565</v>
      </c>
      <c r="Q268" s="8">
        <f t="shared" si="273"/>
        <v>35.504000000000005</v>
      </c>
      <c r="R268" s="8">
        <f t="shared" si="274"/>
        <v>9999</v>
      </c>
      <c r="S268" s="8">
        <f t="shared" si="275"/>
        <v>9999</v>
      </c>
      <c r="T268" s="8">
        <f t="shared" si="276"/>
        <v>9999</v>
      </c>
      <c r="U268" s="8">
        <f t="shared" si="277"/>
        <v>9999</v>
      </c>
      <c r="V268" s="8">
        <f t="shared" si="268"/>
        <v>9999</v>
      </c>
      <c r="W268" s="8">
        <f t="shared" si="269"/>
        <v>9999</v>
      </c>
    </row>
    <row r="269" spans="1:23" x14ac:dyDescent="0.2">
      <c r="A269" s="7">
        <v>2078</v>
      </c>
      <c r="B269" s="7"/>
      <c r="C269" s="8">
        <f>[261]Sheet2!$J$5</f>
        <v>34.694000000000003</v>
      </c>
      <c r="D269" s="8">
        <f>[261]Sheet2!$J$4</f>
        <v>112.815</v>
      </c>
      <c r="E269" s="7">
        <f>[261]Sheet2!$D$8</f>
        <v>107.63659220655441</v>
      </c>
      <c r="F269" s="7" t="str">
        <f>[261]Sheet2!$G$4</f>
        <v>Yiluo He</v>
      </c>
      <c r="G269" s="7" t="str">
        <f>[261]Sheet2!$G$5</f>
        <v>China</v>
      </c>
      <c r="H269" s="7" t="str">
        <f>[261]Sheet2!$H$8</f>
        <v>2</v>
      </c>
      <c r="I269" s="7">
        <f t="shared" ref="I269" si="279">VALUE(H269)</f>
        <v>2</v>
      </c>
      <c r="J269" s="15" t="e">
        <f>[261]Sheet2!$H$9</f>
        <v>#N/A</v>
      </c>
      <c r="K269" s="19">
        <f>[261]Sheet2!$D$9</f>
        <v>4.1800672856976897</v>
      </c>
      <c r="L269" s="9">
        <f>[261]Sheet2!$D$7</f>
        <v>43923</v>
      </c>
      <c r="N269" s="8">
        <f>IF($I272=1,$D272,9999)</f>
        <v>9999</v>
      </c>
      <c r="O269" s="8">
        <f>IF($I272=1,$C272,9999)</f>
        <v>9999</v>
      </c>
      <c r="P269" s="8">
        <f>IF($I272=2,$D272,9999)</f>
        <v>115.785</v>
      </c>
      <c r="Q269" s="8">
        <f>IF($I272=2,$C272,9999)</f>
        <v>35.864000000000004</v>
      </c>
      <c r="R269" s="8">
        <f>IF($I272=3,$D272,9999)</f>
        <v>9999</v>
      </c>
      <c r="S269" s="8">
        <f>IF($I272=3,$C272,9999)</f>
        <v>9999</v>
      </c>
      <c r="T269" s="8">
        <f>IF($I272=4,$D272,9999)</f>
        <v>9999</v>
      </c>
      <c r="U269" s="8">
        <f>IF($I272=4,$C272,9999)</f>
        <v>9999</v>
      </c>
      <c r="V269" s="8">
        <f t="shared" si="268"/>
        <v>9999</v>
      </c>
      <c r="W269" s="8">
        <f t="shared" si="269"/>
        <v>9999</v>
      </c>
    </row>
    <row r="270" spans="1:23" x14ac:dyDescent="0.2">
      <c r="A270" s="7">
        <v>2079</v>
      </c>
      <c r="B270" s="7"/>
      <c r="C270" s="8">
        <f>[262]Sheet2!$J$5</f>
        <v>34.963999999999999</v>
      </c>
      <c r="D270" s="8">
        <f>[262]Sheet2!$J$4</f>
        <v>113.535</v>
      </c>
      <c r="E270" s="7">
        <f>[262]Sheet2!$D$8</f>
        <v>2556.696905249803</v>
      </c>
      <c r="F270" s="7" t="str">
        <f>[262]Sheet2!$G$4</f>
        <v>Yellow (Huang He)</v>
      </c>
      <c r="G270" s="7" t="str">
        <f>[262]Sheet2!$G$5</f>
        <v>China</v>
      </c>
      <c r="H270" s="7" t="str">
        <f>[262]Sheet2!$H$8</f>
        <v>2</v>
      </c>
      <c r="I270" s="7">
        <f t="shared" ref="I270" si="280">VALUE(H270)</f>
        <v>2</v>
      </c>
      <c r="J270" s="15" t="e">
        <f>[262]Sheet2!$H$9</f>
        <v>#N/A</v>
      </c>
      <c r="K270" s="19">
        <f>[262]Sheet2!$D$9</f>
        <v>2.1919970304867826</v>
      </c>
      <c r="L270" s="9">
        <f>[262]Sheet2!$D$7</f>
        <v>43923</v>
      </c>
      <c r="N270" s="8">
        <f t="shared" si="270"/>
        <v>9999</v>
      </c>
      <c r="O270" s="8">
        <f t="shared" si="271"/>
        <v>9999</v>
      </c>
      <c r="P270" s="8">
        <f t="shared" si="272"/>
        <v>113.535</v>
      </c>
      <c r="Q270" s="8">
        <f t="shared" si="273"/>
        <v>34.963999999999999</v>
      </c>
      <c r="R270" s="8">
        <f t="shared" si="274"/>
        <v>9999</v>
      </c>
      <c r="S270" s="8">
        <f t="shared" si="275"/>
        <v>9999</v>
      </c>
      <c r="T270" s="8">
        <f t="shared" si="276"/>
        <v>9999</v>
      </c>
      <c r="U270" s="8">
        <f t="shared" si="277"/>
        <v>9999</v>
      </c>
      <c r="V270" s="8">
        <f t="shared" si="268"/>
        <v>9999</v>
      </c>
      <c r="W270" s="8">
        <f t="shared" si="269"/>
        <v>9999</v>
      </c>
    </row>
    <row r="271" spans="1:23" x14ac:dyDescent="0.2">
      <c r="A271" s="7">
        <v>2080</v>
      </c>
      <c r="B271" s="7"/>
      <c r="C271" s="8">
        <f>[263]Sheet2!$J$5</f>
        <v>35.143999999999998</v>
      </c>
      <c r="D271" s="8">
        <f>[263]Sheet2!$J$4</f>
        <v>114.88500000000001</v>
      </c>
      <c r="E271" s="7">
        <f>[263]Sheet2!$D$8</f>
        <v>2228.4959369918474</v>
      </c>
      <c r="F271" s="7" t="str">
        <f>[263]Sheet2!$G$4</f>
        <v>Yellow (Huang He)</v>
      </c>
      <c r="G271" s="7" t="str">
        <f>[263]Sheet2!$G$5</f>
        <v>China</v>
      </c>
      <c r="H271" s="7" t="str">
        <f>[263]Sheet2!$H$8</f>
        <v>2</v>
      </c>
      <c r="I271" s="7">
        <f t="shared" ref="I271:I272" si="281">VALUE(H271)</f>
        <v>2</v>
      </c>
      <c r="J271" s="15" t="e">
        <f>[263]Sheet2!$H$9</f>
        <v>#N/A</v>
      </c>
      <c r="K271" s="19">
        <f>[263]Sheet2!$D$9</f>
        <v>1.7438515055421087</v>
      </c>
      <c r="L271" s="9">
        <f>[263]Sheet2!$D$7</f>
        <v>43922</v>
      </c>
      <c r="N271" s="8">
        <f t="shared" si="270"/>
        <v>9999</v>
      </c>
      <c r="O271" s="8">
        <f t="shared" si="271"/>
        <v>9999</v>
      </c>
      <c r="P271" s="8">
        <f t="shared" si="272"/>
        <v>114.88500000000001</v>
      </c>
      <c r="Q271" s="8">
        <f t="shared" si="273"/>
        <v>35.143999999999998</v>
      </c>
      <c r="R271" s="8">
        <f t="shared" si="274"/>
        <v>9999</v>
      </c>
      <c r="S271" s="8">
        <f t="shared" si="275"/>
        <v>9999</v>
      </c>
      <c r="T271" s="8">
        <f t="shared" si="276"/>
        <v>9999</v>
      </c>
      <c r="U271" s="8">
        <f t="shared" si="277"/>
        <v>9999</v>
      </c>
      <c r="V271" s="8">
        <f t="shared" si="268"/>
        <v>9999</v>
      </c>
      <c r="W271" s="8">
        <f t="shared" si="269"/>
        <v>9999</v>
      </c>
    </row>
    <row r="272" spans="1:23" x14ac:dyDescent="0.2">
      <c r="A272" s="7">
        <v>2081</v>
      </c>
      <c r="B272" s="7"/>
      <c r="C272" s="8">
        <f>[264]Sheet2!$J$5</f>
        <v>35.864000000000004</v>
      </c>
      <c r="D272" s="8">
        <f>[264]Sheet2!$J$4</f>
        <v>115.785</v>
      </c>
      <c r="E272" s="7">
        <f>[264]Sheet2!$D$8</f>
        <v>1894.0143979285381</v>
      </c>
      <c r="F272" s="7" t="str">
        <f>[264]Sheet2!$G$4</f>
        <v>Yellow (Huang He)</v>
      </c>
      <c r="G272" s="7" t="str">
        <f>[264]Sheet2!$G$5</f>
        <v>China</v>
      </c>
      <c r="H272" s="7" t="str">
        <f>[264]Sheet2!$H$8</f>
        <v>2</v>
      </c>
      <c r="I272" s="7">
        <f t="shared" si="281"/>
        <v>2</v>
      </c>
      <c r="J272" s="15" t="e">
        <f>[264]Sheet2!$H$9</f>
        <v>#N/A</v>
      </c>
      <c r="K272" s="19">
        <f>[264]Sheet2!$D$9</f>
        <v>1.4628464394373522</v>
      </c>
      <c r="L272" s="9">
        <f>[264]Sheet2!$D$7</f>
        <v>43921</v>
      </c>
      <c r="N272" s="8">
        <f t="shared" si="270"/>
        <v>9999</v>
      </c>
      <c r="O272" s="8">
        <f t="shared" si="271"/>
        <v>9999</v>
      </c>
      <c r="P272" s="8">
        <f t="shared" si="272"/>
        <v>115.785</v>
      </c>
      <c r="Q272" s="8">
        <f t="shared" si="273"/>
        <v>35.864000000000004</v>
      </c>
      <c r="R272" s="8">
        <f t="shared" si="274"/>
        <v>9999</v>
      </c>
      <c r="S272" s="8">
        <f t="shared" si="275"/>
        <v>9999</v>
      </c>
      <c r="T272" s="8">
        <f t="shared" si="276"/>
        <v>9999</v>
      </c>
      <c r="U272" s="8">
        <f t="shared" si="277"/>
        <v>9999</v>
      </c>
      <c r="V272" s="8">
        <f t="shared" si="268"/>
        <v>9999</v>
      </c>
      <c r="W272" s="8">
        <f t="shared" si="269"/>
        <v>9999</v>
      </c>
    </row>
    <row r="273" spans="1:23" x14ac:dyDescent="0.2">
      <c r="A273" s="7">
        <v>2085</v>
      </c>
      <c r="B273" s="7"/>
      <c r="C273" s="8">
        <f>[265]Sheet2!$J$5</f>
        <v>31.994</v>
      </c>
      <c r="D273" s="8">
        <f>[265]Sheet2!$J$4</f>
        <v>116.505</v>
      </c>
      <c r="E273" s="7">
        <f>[265]Sheet2!$D$8</f>
        <v>114.93880159546246</v>
      </c>
      <c r="F273" s="7" t="str">
        <f>[265]Sheet2!$G$4</f>
        <v>Pi</v>
      </c>
      <c r="G273" s="7" t="str">
        <f>[265]Sheet2!$G$5</f>
        <v>China</v>
      </c>
      <c r="H273" s="7" t="str">
        <f>[265]Sheet2!$H$8</f>
        <v>2</v>
      </c>
      <c r="I273" s="7">
        <f t="shared" ref="I273:I309" si="282">VALUE(H273)</f>
        <v>2</v>
      </c>
      <c r="J273" s="15" t="e">
        <f>[265]Sheet2!$H$9</f>
        <v>#N/A</v>
      </c>
      <c r="K273" s="19">
        <f>[265]Sheet2!$D$9</f>
        <v>16.846884760775062</v>
      </c>
      <c r="L273" s="9">
        <f>[265]Sheet2!$D$7</f>
        <v>43922</v>
      </c>
      <c r="N273" s="8">
        <f t="shared" si="270"/>
        <v>9999</v>
      </c>
      <c r="O273" s="8">
        <f t="shared" si="271"/>
        <v>9999</v>
      </c>
      <c r="P273" s="8">
        <f t="shared" si="272"/>
        <v>116.505</v>
      </c>
      <c r="Q273" s="8">
        <f t="shared" si="273"/>
        <v>31.994</v>
      </c>
      <c r="R273" s="8">
        <f t="shared" si="274"/>
        <v>9999</v>
      </c>
      <c r="S273" s="8">
        <f t="shared" si="275"/>
        <v>9999</v>
      </c>
      <c r="T273" s="8">
        <f t="shared" si="276"/>
        <v>9999</v>
      </c>
      <c r="U273" s="8">
        <f t="shared" si="277"/>
        <v>9999</v>
      </c>
      <c r="V273" s="8">
        <f t="shared" si="268"/>
        <v>9999</v>
      </c>
      <c r="W273" s="8">
        <f t="shared" si="269"/>
        <v>9999</v>
      </c>
    </row>
    <row r="274" spans="1:23" x14ac:dyDescent="0.2">
      <c r="A274" s="7">
        <v>2087</v>
      </c>
      <c r="B274" s="7"/>
      <c r="C274" s="8">
        <f>[266]Sheet2!$J$5</f>
        <v>31.723999999999997</v>
      </c>
      <c r="D274" s="8">
        <f>[266]Sheet2!$J$4</f>
        <v>118.395</v>
      </c>
      <c r="E274" s="7">
        <f>[266]Sheet2!$D$8</f>
        <v>15615.841152081508</v>
      </c>
      <c r="F274" s="7" t="str">
        <f>[266]Sheet2!$G$4</f>
        <v>Yangtze</v>
      </c>
      <c r="G274" s="7" t="str">
        <f>[266]Sheet2!$G$5</f>
        <v>China</v>
      </c>
      <c r="H274" s="7" t="str">
        <f>[266]Sheet2!$H$8</f>
        <v>1</v>
      </c>
      <c r="I274" s="7">
        <f t="shared" si="282"/>
        <v>1</v>
      </c>
      <c r="J274" s="15" t="e">
        <f>[266]Sheet2!$H$9</f>
        <v>#N/A</v>
      </c>
      <c r="K274" s="19">
        <f>[266]Sheet2!$D$9</f>
        <v>5.7757554216382525</v>
      </c>
      <c r="L274" s="9">
        <f>[266]Sheet2!$D$7</f>
        <v>43922</v>
      </c>
      <c r="N274" s="8">
        <f t="shared" si="270"/>
        <v>118.395</v>
      </c>
      <c r="O274" s="8">
        <f t="shared" si="271"/>
        <v>31.723999999999997</v>
      </c>
      <c r="P274" s="8">
        <f t="shared" si="272"/>
        <v>9999</v>
      </c>
      <c r="Q274" s="8">
        <f t="shared" si="273"/>
        <v>9999</v>
      </c>
      <c r="R274" s="8">
        <f t="shared" si="274"/>
        <v>9999</v>
      </c>
      <c r="S274" s="8">
        <f t="shared" si="275"/>
        <v>9999</v>
      </c>
      <c r="T274" s="8">
        <f t="shared" si="276"/>
        <v>9999</v>
      </c>
      <c r="U274" s="8">
        <f t="shared" si="277"/>
        <v>9999</v>
      </c>
      <c r="V274" s="8">
        <f t="shared" ref="V274:V280" si="283">IF($I274=0,$D274,9999)</f>
        <v>9999</v>
      </c>
      <c r="W274" s="8">
        <f t="shared" ref="W274:W280" si="284">IF($I274=0,$C274,9999)</f>
        <v>9999</v>
      </c>
    </row>
    <row r="275" spans="1:23" x14ac:dyDescent="0.2">
      <c r="A275" s="7">
        <v>2089</v>
      </c>
      <c r="B275" s="7"/>
      <c r="C275" s="8">
        <f>[267]Sheet2!$J$5</f>
        <v>28.484000000000002</v>
      </c>
      <c r="D275" s="8">
        <f>[267]Sheet2!$J$4</f>
        <v>116.77500000000001</v>
      </c>
      <c r="E275" s="7">
        <f>[267]Sheet2!$D$8</f>
        <v>471.3926520624068</v>
      </c>
      <c r="F275" s="7" t="str">
        <f>[267]Sheet2!$G$4</f>
        <v>Xin</v>
      </c>
      <c r="G275" s="7" t="str">
        <f>[267]Sheet2!$G$5</f>
        <v>China</v>
      </c>
      <c r="H275" s="7" t="str">
        <f>[267]Sheet2!$H$8</f>
        <v>1</v>
      </c>
      <c r="I275" s="7">
        <f t="shared" si="282"/>
        <v>1</v>
      </c>
      <c r="J275" s="15" t="e">
        <f>[267]Sheet2!$H$9</f>
        <v>#N/A</v>
      </c>
      <c r="K275" s="19">
        <f>[267]Sheet2!$D$9</f>
        <v>21.445513099959054</v>
      </c>
      <c r="L275" s="9">
        <f>[267]Sheet2!$D$7</f>
        <v>43922</v>
      </c>
      <c r="N275" s="8">
        <f t="shared" si="270"/>
        <v>116.77500000000001</v>
      </c>
      <c r="O275" s="8">
        <f t="shared" si="271"/>
        <v>28.484000000000002</v>
      </c>
      <c r="P275" s="8">
        <f t="shared" si="272"/>
        <v>9999</v>
      </c>
      <c r="Q275" s="8">
        <f t="shared" si="273"/>
        <v>9999</v>
      </c>
      <c r="R275" s="8">
        <f t="shared" si="274"/>
        <v>9999</v>
      </c>
      <c r="S275" s="8">
        <f t="shared" si="275"/>
        <v>9999</v>
      </c>
      <c r="T275" s="8">
        <f t="shared" si="276"/>
        <v>9999</v>
      </c>
      <c r="U275" s="8">
        <f t="shared" si="277"/>
        <v>9999</v>
      </c>
      <c r="V275" s="8">
        <f t="shared" si="283"/>
        <v>9999</v>
      </c>
      <c r="W275" s="8">
        <f t="shared" si="284"/>
        <v>9999</v>
      </c>
    </row>
    <row r="276" spans="1:23" x14ac:dyDescent="0.2">
      <c r="A276" s="7">
        <v>2091</v>
      </c>
      <c r="B276" s="7"/>
      <c r="C276" s="8">
        <f>[268]Sheet2!$J$5</f>
        <v>29.024000000000001</v>
      </c>
      <c r="D276" s="8">
        <f>[268]Sheet2!$J$4</f>
        <v>119.11499999999999</v>
      </c>
      <c r="E276" s="7">
        <f>[268]Sheet2!$D$8</f>
        <v>284.70358849952436</v>
      </c>
      <c r="F276" s="7" t="str">
        <f>[268]Sheet2!$G$4</f>
        <v>Qu</v>
      </c>
      <c r="G276" s="7" t="str">
        <f>[268]Sheet2!$G$5</f>
        <v>China</v>
      </c>
      <c r="H276" s="7" t="str">
        <f>[268]Sheet2!$H$8</f>
        <v>2</v>
      </c>
      <c r="I276" s="7">
        <f t="shared" si="282"/>
        <v>2</v>
      </c>
      <c r="J276" s="15" t="e">
        <f>[268]Sheet2!$H$9</f>
        <v>#N/A</v>
      </c>
      <c r="K276" s="19">
        <f>[268]Sheet2!$D$9</f>
        <v>14.557674340861062</v>
      </c>
      <c r="L276" s="9">
        <f>[268]Sheet2!$D$7</f>
        <v>43922</v>
      </c>
      <c r="N276" s="8">
        <f t="shared" si="270"/>
        <v>9999</v>
      </c>
      <c r="O276" s="8">
        <f t="shared" si="271"/>
        <v>9999</v>
      </c>
      <c r="P276" s="8">
        <f t="shared" si="272"/>
        <v>119.11499999999999</v>
      </c>
      <c r="Q276" s="8">
        <f t="shared" si="273"/>
        <v>29.024000000000001</v>
      </c>
      <c r="R276" s="8">
        <f t="shared" si="274"/>
        <v>9999</v>
      </c>
      <c r="S276" s="8">
        <f t="shared" si="275"/>
        <v>9999</v>
      </c>
      <c r="T276" s="8">
        <f t="shared" si="276"/>
        <v>9999</v>
      </c>
      <c r="U276" s="8">
        <f t="shared" si="277"/>
        <v>9999</v>
      </c>
      <c r="V276" s="8">
        <f t="shared" si="283"/>
        <v>9999</v>
      </c>
      <c r="W276" s="8">
        <f t="shared" si="284"/>
        <v>9999</v>
      </c>
    </row>
    <row r="277" spans="1:23" x14ac:dyDescent="0.2">
      <c r="A277" s="7">
        <v>2094</v>
      </c>
      <c r="B277" s="7"/>
      <c r="C277" s="8">
        <f>[269]Sheet2!$J$5</f>
        <v>30.014000000000003</v>
      </c>
      <c r="D277" s="8">
        <f>[269]Sheet2!$J$4</f>
        <v>120.015</v>
      </c>
      <c r="E277" s="7">
        <f>[269]Sheet2!$D$8</f>
        <v>593.8493661498743</v>
      </c>
      <c r="F277" s="7" t="str">
        <f>[269]Sheet2!$G$4</f>
        <v>Fuchun</v>
      </c>
      <c r="G277" s="7" t="str">
        <f>[269]Sheet2!$G$5</f>
        <v>China</v>
      </c>
      <c r="H277" s="7" t="str">
        <f>[269]Sheet2!$H$8</f>
        <v>1</v>
      </c>
      <c r="I277" s="7">
        <f t="shared" si="282"/>
        <v>1</v>
      </c>
      <c r="J277" s="15" t="e">
        <f>[269]Sheet2!$H$9</f>
        <v>#N/A</v>
      </c>
      <c r="K277" s="19">
        <f>[269]Sheet2!$D$9</f>
        <v>8.947950856409177</v>
      </c>
      <c r="L277" s="9">
        <f>[269]Sheet2!$D$7</f>
        <v>43922</v>
      </c>
      <c r="N277" s="8">
        <f t="shared" si="270"/>
        <v>120.015</v>
      </c>
      <c r="O277" s="8">
        <f t="shared" si="271"/>
        <v>30.014000000000003</v>
      </c>
      <c r="P277" s="8">
        <f t="shared" si="272"/>
        <v>9999</v>
      </c>
      <c r="Q277" s="8">
        <f t="shared" si="273"/>
        <v>9999</v>
      </c>
      <c r="R277" s="8">
        <f t="shared" si="274"/>
        <v>9999</v>
      </c>
      <c r="S277" s="8">
        <f t="shared" si="275"/>
        <v>9999</v>
      </c>
      <c r="T277" s="8">
        <f t="shared" si="276"/>
        <v>9999</v>
      </c>
      <c r="U277" s="8">
        <f t="shared" si="277"/>
        <v>9999</v>
      </c>
      <c r="V277" s="8">
        <f t="shared" si="283"/>
        <v>9999</v>
      </c>
      <c r="W277" s="8">
        <f t="shared" si="284"/>
        <v>9999</v>
      </c>
    </row>
    <row r="278" spans="1:23" x14ac:dyDescent="0.2">
      <c r="A278" s="7">
        <v>2095</v>
      </c>
      <c r="B278" s="7"/>
      <c r="C278" s="8">
        <f>[270]Sheet2!$J$5</f>
        <v>26.054000000000002</v>
      </c>
      <c r="D278" s="8">
        <f>[270]Sheet2!$J$4</f>
        <v>119.205</v>
      </c>
      <c r="E278" s="7">
        <f>[270]Sheet2!$D$8</f>
        <v>1257.9949679619513</v>
      </c>
      <c r="F278" s="7" t="str">
        <f>[270]Sheet2!$G$4</f>
        <v>Min Mouth</v>
      </c>
      <c r="G278" s="7" t="str">
        <f>[270]Sheet2!$G$5</f>
        <v>China</v>
      </c>
      <c r="H278" s="7" t="str">
        <f>[270]Sheet2!$H$8</f>
        <v>2</v>
      </c>
      <c r="I278" s="7">
        <f t="shared" si="282"/>
        <v>2</v>
      </c>
      <c r="J278" s="15" t="e">
        <f>[270]Sheet2!$H$9</f>
        <v>#N/A</v>
      </c>
      <c r="K278" s="19">
        <f>[270]Sheet2!$D$9</f>
        <v>11.9213980627945</v>
      </c>
      <c r="L278" s="9">
        <f>[270]Sheet2!$D$7</f>
        <v>43922</v>
      </c>
      <c r="N278" s="8">
        <f t="shared" si="270"/>
        <v>9999</v>
      </c>
      <c r="O278" s="8">
        <f t="shared" si="271"/>
        <v>9999</v>
      </c>
      <c r="P278" s="8">
        <f t="shared" si="272"/>
        <v>119.205</v>
      </c>
      <c r="Q278" s="8">
        <f t="shared" si="273"/>
        <v>26.054000000000002</v>
      </c>
      <c r="R278" s="8">
        <f t="shared" si="274"/>
        <v>9999</v>
      </c>
      <c r="S278" s="8">
        <f t="shared" si="275"/>
        <v>9999</v>
      </c>
      <c r="T278" s="8">
        <f t="shared" si="276"/>
        <v>9999</v>
      </c>
      <c r="U278" s="8">
        <f t="shared" si="277"/>
        <v>9999</v>
      </c>
      <c r="V278" s="8">
        <f t="shared" si="283"/>
        <v>9999</v>
      </c>
      <c r="W278" s="8">
        <f t="shared" si="284"/>
        <v>9999</v>
      </c>
    </row>
    <row r="279" spans="1:23" x14ac:dyDescent="0.2">
      <c r="A279" s="7">
        <v>2098</v>
      </c>
      <c r="B279" s="7"/>
      <c r="C279" s="8">
        <f>[271]Sheet2!$J$5</f>
        <v>26.683999999999997</v>
      </c>
      <c r="D279" s="8">
        <f>[271]Sheet2!$J$4</f>
        <v>114.795</v>
      </c>
      <c r="E279" s="7">
        <f>[271]Sheet2!$D$8</f>
        <v>509.78216236498412</v>
      </c>
      <c r="F279" s="7" t="str">
        <f>[271]Sheet2!$G$4</f>
        <v>Gan</v>
      </c>
      <c r="G279" s="7" t="str">
        <f>[271]Sheet2!$G$5</f>
        <v>China</v>
      </c>
      <c r="H279" s="7" t="str">
        <f>[271]Sheet2!$H$8</f>
        <v>1</v>
      </c>
      <c r="I279" s="7">
        <f t="shared" si="282"/>
        <v>1</v>
      </c>
      <c r="J279" s="15" t="e">
        <f>[271]Sheet2!$H$9</f>
        <v>#N/A</v>
      </c>
      <c r="K279" s="19">
        <f>[271]Sheet2!$D$9</f>
        <v>21.804565758266314</v>
      </c>
      <c r="L279" s="9">
        <f>[271]Sheet2!$D$7</f>
        <v>43922</v>
      </c>
      <c r="N279" s="8">
        <f t="shared" si="270"/>
        <v>114.795</v>
      </c>
      <c r="O279" s="8">
        <f t="shared" si="271"/>
        <v>26.683999999999997</v>
      </c>
      <c r="P279" s="8">
        <f t="shared" si="272"/>
        <v>9999</v>
      </c>
      <c r="Q279" s="8">
        <f t="shared" si="273"/>
        <v>9999</v>
      </c>
      <c r="R279" s="8">
        <f t="shared" si="274"/>
        <v>9999</v>
      </c>
      <c r="S279" s="8">
        <f t="shared" si="275"/>
        <v>9999</v>
      </c>
      <c r="T279" s="8">
        <f t="shared" si="276"/>
        <v>9999</v>
      </c>
      <c r="U279" s="8">
        <f t="shared" si="277"/>
        <v>9999</v>
      </c>
      <c r="V279" s="8">
        <f t="shared" si="283"/>
        <v>9999</v>
      </c>
      <c r="W279" s="8">
        <f t="shared" si="284"/>
        <v>9999</v>
      </c>
    </row>
    <row r="280" spans="1:23" x14ac:dyDescent="0.2">
      <c r="A280" s="7">
        <v>2100</v>
      </c>
      <c r="B280" s="7"/>
      <c r="C280" s="8">
        <f>[272]Sheet2!$J$5</f>
        <v>23.624000000000002</v>
      </c>
      <c r="D280" s="8">
        <f>[272]Sheet2!$J$4</f>
        <v>116.685</v>
      </c>
      <c r="E280" s="7">
        <f>[272]Sheet2!$D$8</f>
        <v>760.90707608676746</v>
      </c>
      <c r="F280" s="7" t="str">
        <f>[272]Sheet2!$G$4</f>
        <v>Han</v>
      </c>
      <c r="G280" s="7" t="str">
        <f>[272]Sheet2!$G$5</f>
        <v>China</v>
      </c>
      <c r="H280" s="7" t="str">
        <f>[272]Sheet2!$H$8</f>
        <v>2</v>
      </c>
      <c r="I280" s="7">
        <f t="shared" si="282"/>
        <v>2</v>
      </c>
      <c r="J280" s="15" t="e">
        <f>[272]Sheet2!$H$9</f>
        <v>#N/A</v>
      </c>
      <c r="K280" s="19">
        <f>[272]Sheet2!$D$9</f>
        <v>15.356815989283419</v>
      </c>
      <c r="L280" s="9">
        <f>[272]Sheet2!$D$7</f>
        <v>43922</v>
      </c>
      <c r="N280" s="8">
        <f t="shared" si="270"/>
        <v>9999</v>
      </c>
      <c r="O280" s="8">
        <f t="shared" si="271"/>
        <v>9999</v>
      </c>
      <c r="P280" s="8">
        <f t="shared" si="272"/>
        <v>116.685</v>
      </c>
      <c r="Q280" s="8">
        <f t="shared" si="273"/>
        <v>23.624000000000002</v>
      </c>
      <c r="R280" s="8">
        <f t="shared" si="274"/>
        <v>9999</v>
      </c>
      <c r="S280" s="8">
        <f t="shared" si="275"/>
        <v>9999</v>
      </c>
      <c r="T280" s="8">
        <f t="shared" si="276"/>
        <v>9999</v>
      </c>
      <c r="U280" s="8">
        <f t="shared" si="277"/>
        <v>9999</v>
      </c>
      <c r="V280" s="8">
        <f t="shared" si="283"/>
        <v>9999</v>
      </c>
      <c r="W280" s="8">
        <f t="shared" si="284"/>
        <v>9999</v>
      </c>
    </row>
    <row r="281" spans="1:23" x14ac:dyDescent="0.2">
      <c r="A281" s="7">
        <v>2190</v>
      </c>
      <c r="B281" s="7"/>
      <c r="C281" s="8">
        <f>[273]Sheet2!$J$5</f>
        <v>18.134</v>
      </c>
      <c r="D281" s="8">
        <f>[273]Sheet2!$J$4</f>
        <v>121.63500000000001</v>
      </c>
      <c r="E281" s="7">
        <f>[273]Sheet2!$D$8</f>
        <v>399.438684012576</v>
      </c>
      <c r="F281" s="7" t="str">
        <f>[273]Sheet2!$G$4</f>
        <v>Cagayan Mouth</v>
      </c>
      <c r="G281" s="7" t="str">
        <f>[273]Sheet2!$G$5</f>
        <v>Philippines</v>
      </c>
      <c r="H281" s="7" t="str">
        <f>[273]Sheet2!$H$8</f>
        <v>2</v>
      </c>
      <c r="I281" s="7">
        <f t="shared" si="282"/>
        <v>2</v>
      </c>
      <c r="J281" s="15" t="e">
        <f>[273]Sheet2!$H$9</f>
        <v>#N/A</v>
      </c>
      <c r="K281" s="19">
        <f>[273]Sheet2!$D$9</f>
        <v>8.1359292093571547</v>
      </c>
      <c r="L281" s="9">
        <f>[273]Sheet2!$D$7</f>
        <v>43923</v>
      </c>
      <c r="N281" s="8">
        <f t="shared" ref="N281:N287" si="285">IF($I281=1,$D281,9999)</f>
        <v>9999</v>
      </c>
      <c r="O281" s="8">
        <f t="shared" ref="O281:O287" si="286">IF($I281=1,$C281,9999)</f>
        <v>9999</v>
      </c>
      <c r="P281" s="8">
        <f t="shared" ref="P281:P287" si="287">IF($I281=2,$D281,9999)</f>
        <v>121.63500000000001</v>
      </c>
      <c r="Q281" s="8">
        <f t="shared" ref="Q281:Q287" si="288">IF($I281=2,$C281,9999)</f>
        <v>18.134</v>
      </c>
      <c r="R281" s="8">
        <f t="shared" ref="R281:R287" si="289">IF($I281=3,$D281,9999)</f>
        <v>9999</v>
      </c>
      <c r="S281" s="8">
        <f t="shared" ref="S281:S287" si="290">IF($I281=3,$C281,9999)</f>
        <v>9999</v>
      </c>
      <c r="T281" s="8">
        <f t="shared" ref="T281:T287" si="291">IF($I281=4,$D281,9999)</f>
        <v>9999</v>
      </c>
      <c r="U281" s="8">
        <f t="shared" ref="U281:U287" si="292">IF($I281=4,$C281,9999)</f>
        <v>9999</v>
      </c>
      <c r="V281" s="8">
        <f t="shared" ref="V281:V285" si="293">IF($I281=0,$D281,9999)</f>
        <v>9999</v>
      </c>
      <c r="W281" s="8">
        <f t="shared" ref="W281:W285" si="294">IF($I281=0,$C281,9999)</f>
        <v>9999</v>
      </c>
    </row>
    <row r="282" spans="1:23" x14ac:dyDescent="0.2">
      <c r="A282" s="7">
        <v>2201</v>
      </c>
      <c r="B282" s="7"/>
      <c r="C282" s="8">
        <f>[274]Sheet2!$J$5</f>
        <v>15.614000000000001</v>
      </c>
      <c r="D282" s="8">
        <f>[274]Sheet2!$J$4</f>
        <v>120.55500000000001</v>
      </c>
      <c r="E282" s="7">
        <f>[274]Sheet2!$D$8</f>
        <v>13.249294133714301</v>
      </c>
      <c r="F282" s="7" t="str">
        <f>[274]Sheet2!$G$4</f>
        <v>Tarlac</v>
      </c>
      <c r="G282" s="7" t="str">
        <f>[274]Sheet2!$G$5</f>
        <v>Philippines</v>
      </c>
      <c r="H282" s="7" t="str">
        <f>[274]Sheet2!$H$8</f>
        <v>2</v>
      </c>
      <c r="I282" s="7">
        <f t="shared" si="282"/>
        <v>2</v>
      </c>
      <c r="J282" s="15" t="e">
        <f>[274]Sheet2!$H$9</f>
        <v>#N/A</v>
      </c>
      <c r="K282" s="19">
        <f>[274]Sheet2!$D$9</f>
        <v>8.9579194306750995</v>
      </c>
      <c r="L282" s="9">
        <f>[274]Sheet2!$D$7</f>
        <v>43923</v>
      </c>
      <c r="N282" s="8">
        <f t="shared" si="285"/>
        <v>9999</v>
      </c>
      <c r="O282" s="8">
        <f t="shared" si="286"/>
        <v>9999</v>
      </c>
      <c r="P282" s="8">
        <f t="shared" si="287"/>
        <v>120.55500000000001</v>
      </c>
      <c r="Q282" s="8">
        <f t="shared" si="288"/>
        <v>15.614000000000001</v>
      </c>
      <c r="R282" s="8">
        <f t="shared" si="289"/>
        <v>9999</v>
      </c>
      <c r="S282" s="8">
        <f t="shared" si="290"/>
        <v>9999</v>
      </c>
      <c r="T282" s="8">
        <f t="shared" si="291"/>
        <v>9999</v>
      </c>
      <c r="U282" s="8">
        <f t="shared" si="292"/>
        <v>9999</v>
      </c>
      <c r="V282" s="8">
        <f t="shared" si="293"/>
        <v>9999</v>
      </c>
      <c r="W282" s="8">
        <f t="shared" si="294"/>
        <v>9999</v>
      </c>
    </row>
    <row r="283" spans="1:23" x14ac:dyDescent="0.2">
      <c r="A283" s="7">
        <v>2205</v>
      </c>
      <c r="B283" s="7"/>
      <c r="C283" s="8">
        <f>[275]Sheet2!$J$5</f>
        <v>14.894</v>
      </c>
      <c r="D283" s="8">
        <f>[275]Sheet2!$J$4</f>
        <v>120.735</v>
      </c>
      <c r="E283" s="7">
        <f>[275]Sheet2!$D$8</f>
        <v>627.30631894688065</v>
      </c>
      <c r="F283" s="7" t="str">
        <f>[275]Sheet2!$G$4</f>
        <v>Pampanga Delta</v>
      </c>
      <c r="G283" s="7" t="str">
        <f>[275]Sheet2!$G$5</f>
        <v>Philippines</v>
      </c>
      <c r="H283" s="7" t="str">
        <f>[275]Sheet2!$H$8</f>
        <v>3</v>
      </c>
      <c r="I283" s="7">
        <f t="shared" si="282"/>
        <v>3</v>
      </c>
      <c r="J283" s="15" t="e">
        <f>[275]Sheet2!$H$9</f>
        <v>#N/A</v>
      </c>
      <c r="K283" s="19">
        <f>[275]Sheet2!$D$9</f>
        <v>50.713706511890194</v>
      </c>
      <c r="L283" s="9">
        <f>[275]Sheet2!$D$7</f>
        <v>43923</v>
      </c>
      <c r="N283" s="8">
        <f t="shared" si="285"/>
        <v>9999</v>
      </c>
      <c r="O283" s="8">
        <f t="shared" si="286"/>
        <v>9999</v>
      </c>
      <c r="P283" s="8">
        <f t="shared" si="287"/>
        <v>9999</v>
      </c>
      <c r="Q283" s="8">
        <f t="shared" si="288"/>
        <v>9999</v>
      </c>
      <c r="R283" s="8">
        <f t="shared" si="289"/>
        <v>120.735</v>
      </c>
      <c r="S283" s="8">
        <f t="shared" si="290"/>
        <v>14.894</v>
      </c>
      <c r="T283" s="8">
        <f t="shared" si="291"/>
        <v>9999</v>
      </c>
      <c r="U283" s="8">
        <f t="shared" si="292"/>
        <v>9999</v>
      </c>
      <c r="V283" s="8">
        <f t="shared" si="293"/>
        <v>9999</v>
      </c>
      <c r="W283" s="8">
        <f t="shared" si="294"/>
        <v>9999</v>
      </c>
    </row>
    <row r="284" spans="1:23" x14ac:dyDescent="0.2">
      <c r="A284" s="7">
        <v>2206</v>
      </c>
      <c r="B284" s="7"/>
      <c r="C284" s="8">
        <f>[276]Sheet2!$J$5</f>
        <v>15.343999999999999</v>
      </c>
      <c r="D284" s="8">
        <f>[276]Sheet2!$J$4</f>
        <v>120.465</v>
      </c>
      <c r="E284" s="7">
        <f>[276]Sheet2!$D$8</f>
        <v>3.0485512614475319</v>
      </c>
      <c r="F284" s="7" t="str">
        <f>[276]Sheet2!$G$4</f>
        <v>Tarlac</v>
      </c>
      <c r="G284" s="7" t="str">
        <f>[276]Sheet2!$G$5</f>
        <v>Philippines</v>
      </c>
      <c r="H284" s="7" t="str">
        <f>[276]Sheet2!$H$8</f>
        <v>2</v>
      </c>
      <c r="I284" s="7">
        <f t="shared" si="282"/>
        <v>2</v>
      </c>
      <c r="J284" s="15" t="e">
        <f>[276]Sheet2!$H$9</f>
        <v>#N/A</v>
      </c>
      <c r="K284" s="19">
        <f>[276]Sheet2!$D$9</f>
        <v>9.2947041246385034</v>
      </c>
      <c r="L284" s="9">
        <f>[276]Sheet2!$D$7</f>
        <v>43923</v>
      </c>
      <c r="N284" s="8">
        <f t="shared" si="285"/>
        <v>9999</v>
      </c>
      <c r="O284" s="8">
        <f t="shared" si="286"/>
        <v>9999</v>
      </c>
      <c r="P284" s="8">
        <f t="shared" si="287"/>
        <v>120.465</v>
      </c>
      <c r="Q284" s="8">
        <f t="shared" si="288"/>
        <v>15.343999999999999</v>
      </c>
      <c r="R284" s="8">
        <f t="shared" si="289"/>
        <v>9999</v>
      </c>
      <c r="S284" s="8">
        <f t="shared" si="290"/>
        <v>9999</v>
      </c>
      <c r="T284" s="8">
        <f t="shared" si="291"/>
        <v>9999</v>
      </c>
      <c r="U284" s="8">
        <f t="shared" si="292"/>
        <v>9999</v>
      </c>
      <c r="V284" s="8">
        <f t="shared" si="293"/>
        <v>9999</v>
      </c>
      <c r="W284" s="8">
        <f t="shared" si="294"/>
        <v>9999</v>
      </c>
    </row>
    <row r="285" spans="1:23" x14ac:dyDescent="0.2">
      <c r="A285" s="7">
        <v>2209</v>
      </c>
      <c r="B285" s="7"/>
      <c r="C285" s="8">
        <f>[277]Sheet2!$J$5</f>
        <v>17.594000000000001</v>
      </c>
      <c r="D285" s="8">
        <f>[277]Sheet2!$J$4</f>
        <v>120.645</v>
      </c>
      <c r="E285" s="7">
        <f>[277]Sheet2!$D$8</f>
        <v>16.31464701640742</v>
      </c>
      <c r="F285" s="7" t="str">
        <f>[277]Sheet2!$G$4</f>
        <v>Tineg</v>
      </c>
      <c r="G285" s="7" t="str">
        <f>[277]Sheet2!$G$5</f>
        <v>Philippines</v>
      </c>
      <c r="H285" s="7" t="str">
        <f>[277]Sheet2!$H$8</f>
        <v>2</v>
      </c>
      <c r="I285" s="7">
        <f t="shared" si="282"/>
        <v>2</v>
      </c>
      <c r="J285" s="15" t="e">
        <f>[277]Sheet2!$H$9</f>
        <v>#N/A</v>
      </c>
      <c r="K285" s="19">
        <f>[277]Sheet2!$D$9</f>
        <v>9.714212159271991</v>
      </c>
      <c r="L285" s="9">
        <f>[277]Sheet2!$D$7</f>
        <v>43923</v>
      </c>
      <c r="N285" s="8">
        <f t="shared" si="285"/>
        <v>9999</v>
      </c>
      <c r="O285" s="8">
        <f t="shared" si="286"/>
        <v>9999</v>
      </c>
      <c r="P285" s="8">
        <f t="shared" si="287"/>
        <v>120.645</v>
      </c>
      <c r="Q285" s="8">
        <f t="shared" si="288"/>
        <v>17.594000000000001</v>
      </c>
      <c r="R285" s="8">
        <f t="shared" si="289"/>
        <v>9999</v>
      </c>
      <c r="S285" s="8">
        <f t="shared" si="290"/>
        <v>9999</v>
      </c>
      <c r="T285" s="8">
        <f t="shared" si="291"/>
        <v>9999</v>
      </c>
      <c r="U285" s="8">
        <f t="shared" si="292"/>
        <v>9999</v>
      </c>
      <c r="V285" s="8">
        <f t="shared" si="293"/>
        <v>9999</v>
      </c>
      <c r="W285" s="8">
        <f t="shared" si="294"/>
        <v>9999</v>
      </c>
    </row>
    <row r="286" spans="1:23" x14ac:dyDescent="0.2">
      <c r="A286" s="7">
        <v>2214</v>
      </c>
      <c r="B286" s="7"/>
      <c r="C286" s="8">
        <f>[278]Sheet2!$J$5</f>
        <v>7.1539999999999999</v>
      </c>
      <c r="D286" s="8">
        <f>[278]Sheet2!$J$4</f>
        <v>124.33500000000001</v>
      </c>
      <c r="E286" s="7">
        <f>[278]Sheet2!$D$8</f>
        <v>311.77139621987067</v>
      </c>
      <c r="F286" s="7" t="str">
        <f>[278]Sheet2!$G$4</f>
        <v>Mindanao</v>
      </c>
      <c r="G286" s="7" t="str">
        <f>[278]Sheet2!$G$5</f>
        <v>Philippines</v>
      </c>
      <c r="H286" s="7" t="str">
        <f>[278]Sheet2!$H$8</f>
        <v>1</v>
      </c>
      <c r="I286" s="7">
        <f t="shared" si="282"/>
        <v>1</v>
      </c>
      <c r="J286" s="15" t="e">
        <f>[278]Sheet2!$H$9</f>
        <v>#N/A</v>
      </c>
      <c r="K286" s="19">
        <f>[278]Sheet2!$D$9</f>
        <v>9.4399050749427396</v>
      </c>
      <c r="L286" s="9">
        <f>[278]Sheet2!$D$7</f>
        <v>43921</v>
      </c>
      <c r="N286" s="8">
        <f t="shared" si="285"/>
        <v>124.33500000000001</v>
      </c>
      <c r="O286" s="8">
        <f t="shared" si="286"/>
        <v>7.1539999999999999</v>
      </c>
      <c r="P286" s="8">
        <f t="shared" si="287"/>
        <v>9999</v>
      </c>
      <c r="Q286" s="8">
        <f t="shared" si="288"/>
        <v>9999</v>
      </c>
      <c r="R286" s="8">
        <f t="shared" si="289"/>
        <v>9999</v>
      </c>
      <c r="S286" s="8">
        <f t="shared" si="290"/>
        <v>9999</v>
      </c>
      <c r="T286" s="8">
        <f t="shared" si="291"/>
        <v>9999</v>
      </c>
      <c r="U286" s="8">
        <f t="shared" si="292"/>
        <v>9999</v>
      </c>
      <c r="V286" s="8">
        <f t="shared" ref="V286:V289" si="295">IF($I286=0,$D286,9999)</f>
        <v>9999</v>
      </c>
      <c r="W286" s="8">
        <f t="shared" ref="W286:W289" si="296">IF($I286=0,$C286,9999)</f>
        <v>9999</v>
      </c>
    </row>
    <row r="287" spans="1:23" x14ac:dyDescent="0.2">
      <c r="A287" s="7">
        <v>2216</v>
      </c>
      <c r="B287" s="7"/>
      <c r="C287" s="8">
        <f>[279]Sheet2!$J$5</f>
        <v>7.1539999999999999</v>
      </c>
      <c r="D287" s="8">
        <f>[279]Sheet2!$J$4</f>
        <v>124.785</v>
      </c>
      <c r="E287" s="7">
        <f>[279]Sheet2!$D$8</f>
        <v>0</v>
      </c>
      <c r="F287" s="7" t="str">
        <f>[279]Sheet2!$G$4</f>
        <v>Pulangi</v>
      </c>
      <c r="G287" s="7" t="str">
        <f>[279]Sheet2!$G$5</f>
        <v>Philippines</v>
      </c>
      <c r="H287" s="7" t="str">
        <f>[279]Sheet2!$H$8</f>
        <v>1</v>
      </c>
      <c r="I287" s="7">
        <f t="shared" si="282"/>
        <v>1</v>
      </c>
      <c r="J287" s="15" t="e">
        <f>[279]Sheet2!$H$9</f>
        <v>#N/A</v>
      </c>
      <c r="K287" s="19">
        <f>[279]Sheet2!$D$9</f>
        <v>0.1356029395394644</v>
      </c>
      <c r="L287" s="9">
        <f>[279]Sheet2!$D$7</f>
        <v>43921</v>
      </c>
      <c r="N287" s="8">
        <f t="shared" si="285"/>
        <v>124.785</v>
      </c>
      <c r="O287" s="8">
        <f t="shared" si="286"/>
        <v>7.1539999999999999</v>
      </c>
      <c r="P287" s="8">
        <f t="shared" si="287"/>
        <v>9999</v>
      </c>
      <c r="Q287" s="8">
        <f t="shared" si="288"/>
        <v>9999</v>
      </c>
      <c r="R287" s="8">
        <f t="shared" si="289"/>
        <v>9999</v>
      </c>
      <c r="S287" s="8">
        <f t="shared" si="290"/>
        <v>9999</v>
      </c>
      <c r="T287" s="8">
        <f t="shared" si="291"/>
        <v>9999</v>
      </c>
      <c r="U287" s="8">
        <f t="shared" si="292"/>
        <v>9999</v>
      </c>
      <c r="V287" s="8">
        <f t="shared" si="295"/>
        <v>9999</v>
      </c>
      <c r="W287" s="8">
        <f t="shared" si="296"/>
        <v>9999</v>
      </c>
    </row>
    <row r="288" spans="1:23" x14ac:dyDescent="0.2">
      <c r="A288" s="7">
        <v>2251</v>
      </c>
      <c r="B288" s="7"/>
      <c r="C288" s="8">
        <f>[280]Sheet2!$J$5</f>
        <v>3.5540000000000003</v>
      </c>
      <c r="D288" s="8">
        <f>[280]Sheet2!$J$4</f>
        <v>103.27500000000001</v>
      </c>
      <c r="E288" s="7">
        <f>[280]Sheet2!$D$8</f>
        <v>1303.514504289471</v>
      </c>
      <c r="F288" s="7" t="str">
        <f>[280]Sheet2!$G$4</f>
        <v>Pahang</v>
      </c>
      <c r="G288" s="7" t="str">
        <f>[280]Sheet2!$G$5</f>
        <v>Malaysia</v>
      </c>
      <c r="H288" s="7" t="str">
        <f>[280]Sheet2!$H$8</f>
        <v>2</v>
      </c>
      <c r="I288" s="7">
        <f t="shared" si="282"/>
        <v>2</v>
      </c>
      <c r="J288" s="15" t="e">
        <f>[280]Sheet2!$H$9</f>
        <v>#N/A</v>
      </c>
      <c r="K288" s="19">
        <f>[280]Sheet2!$D$9</f>
        <v>25.399326077464291</v>
      </c>
      <c r="L288" s="9">
        <f>[280]Sheet2!$D$7</f>
        <v>43921</v>
      </c>
      <c r="N288" s="8">
        <f t="shared" ref="N288:N289" si="297">IF($I288=1,$D288,9999)</f>
        <v>9999</v>
      </c>
      <c r="O288" s="8">
        <f t="shared" ref="O288:O289" si="298">IF($I288=1,$C288,9999)</f>
        <v>9999</v>
      </c>
      <c r="P288" s="8">
        <f t="shared" ref="P288:P289" si="299">IF($I288=2,$D288,9999)</f>
        <v>103.27500000000001</v>
      </c>
      <c r="Q288" s="8">
        <f t="shared" ref="Q288:Q289" si="300">IF($I288=2,$C288,9999)</f>
        <v>3.5540000000000003</v>
      </c>
      <c r="R288" s="8">
        <f t="shared" ref="R288:R289" si="301">IF($I288=3,$D288,9999)</f>
        <v>9999</v>
      </c>
      <c r="S288" s="8">
        <f t="shared" ref="S288:S289" si="302">IF($I288=3,$C288,9999)</f>
        <v>9999</v>
      </c>
      <c r="T288" s="8">
        <f t="shared" ref="T288:T289" si="303">IF($I288=4,$D288,9999)</f>
        <v>9999</v>
      </c>
      <c r="U288" s="8">
        <f t="shared" ref="U288:U289" si="304">IF($I288=4,$C288,9999)</f>
        <v>9999</v>
      </c>
      <c r="V288" s="8">
        <f t="shared" si="295"/>
        <v>9999</v>
      </c>
      <c r="W288" s="8">
        <f t="shared" si="296"/>
        <v>9999</v>
      </c>
    </row>
    <row r="289" spans="1:23" x14ac:dyDescent="0.2">
      <c r="A289" s="7">
        <v>2253</v>
      </c>
      <c r="B289" s="7"/>
      <c r="C289" s="8">
        <f>[281]Sheet2!$J$5</f>
        <v>6.0739999999999998</v>
      </c>
      <c r="D289" s="8">
        <f>[281]Sheet2!$J$4</f>
        <v>102.19499999999999</v>
      </c>
      <c r="E289" s="7">
        <f>[281]Sheet2!$D$8</f>
        <v>151.77157824792926</v>
      </c>
      <c r="F289" s="7" t="str">
        <f>[281]Sheet2!$G$4</f>
        <v>Kelantan</v>
      </c>
      <c r="G289" s="7" t="str">
        <f>[281]Sheet2!$G$5</f>
        <v>Malaysia</v>
      </c>
      <c r="H289" s="7" t="str">
        <f>[281]Sheet2!$H$8</f>
        <v>1</v>
      </c>
      <c r="I289" s="7">
        <f t="shared" si="282"/>
        <v>1</v>
      </c>
      <c r="J289" s="15" t="e">
        <f>[281]Sheet2!$H$9</f>
        <v>#N/A</v>
      </c>
      <c r="K289" s="19">
        <f>[281]Sheet2!$D$9</f>
        <v>7.0224190906584649</v>
      </c>
      <c r="L289" s="9">
        <f>[281]Sheet2!$D$7</f>
        <v>43921</v>
      </c>
      <c r="N289" s="8">
        <f t="shared" si="297"/>
        <v>102.19499999999999</v>
      </c>
      <c r="O289" s="8">
        <f t="shared" si="298"/>
        <v>6.0739999999999998</v>
      </c>
      <c r="P289" s="8">
        <f t="shared" si="299"/>
        <v>9999</v>
      </c>
      <c r="Q289" s="8">
        <f t="shared" si="300"/>
        <v>9999</v>
      </c>
      <c r="R289" s="8">
        <f t="shared" si="301"/>
        <v>9999</v>
      </c>
      <c r="S289" s="8">
        <f t="shared" si="302"/>
        <v>9999</v>
      </c>
      <c r="T289" s="8">
        <f t="shared" si="303"/>
        <v>9999</v>
      </c>
      <c r="U289" s="8">
        <f t="shared" si="304"/>
        <v>9999</v>
      </c>
      <c r="V289" s="8">
        <f t="shared" si="295"/>
        <v>9999</v>
      </c>
      <c r="W289" s="8">
        <f t="shared" si="296"/>
        <v>9999</v>
      </c>
    </row>
    <row r="290" spans="1:23" x14ac:dyDescent="0.2">
      <c r="A290" s="7">
        <v>2379</v>
      </c>
      <c r="B290" s="7"/>
      <c r="C290" s="8">
        <f>[282]Sheet2!$J$5</f>
        <v>-34.695</v>
      </c>
      <c r="D290" s="8">
        <f>[282]Sheet2!$J$4</f>
        <v>146.47500000000002</v>
      </c>
      <c r="E290" s="7">
        <f>[282]Sheet2!$D$8</f>
        <v>123.87572950253018</v>
      </c>
      <c r="F290" s="7" t="str">
        <f>[282]Sheet2!$G$4</f>
        <v>Murrumbidgee</v>
      </c>
      <c r="G290" s="7" t="str">
        <f>[282]Sheet2!$G$5</f>
        <v>Australia</v>
      </c>
      <c r="H290" s="7" t="str">
        <f>[282]Sheet2!$H$8</f>
        <v>2</v>
      </c>
      <c r="I290" s="7">
        <f t="shared" si="282"/>
        <v>2</v>
      </c>
      <c r="J290" s="15" t="e">
        <f>[282]Sheet2!$H$9</f>
        <v>#N/A</v>
      </c>
      <c r="K290" s="19">
        <f>[282]Sheet2!$D$9</f>
        <v>1.3089748228266629</v>
      </c>
      <c r="L290" s="9">
        <f>[282]Sheet2!$D$7</f>
        <v>43923</v>
      </c>
      <c r="N290" s="8">
        <f t="shared" ref="N290:N291" si="305">IF($I290=1,$D290,9999)</f>
        <v>9999</v>
      </c>
      <c r="O290" s="8">
        <f t="shared" ref="O290:O291" si="306">IF($I290=1,$C290,9999)</f>
        <v>9999</v>
      </c>
      <c r="P290" s="8">
        <f t="shared" ref="P290:P291" si="307">IF($I290=2,$D290,9999)</f>
        <v>146.47500000000002</v>
      </c>
      <c r="Q290" s="8">
        <f t="shared" ref="Q290:Q291" si="308">IF($I290=2,$C290,9999)</f>
        <v>-34.695</v>
      </c>
      <c r="R290" s="8">
        <f t="shared" ref="R290:R291" si="309">IF($I290=3,$D290,9999)</f>
        <v>9999</v>
      </c>
      <c r="S290" s="8">
        <f t="shared" ref="S290:S291" si="310">IF($I290=3,$C290,9999)</f>
        <v>9999</v>
      </c>
      <c r="T290" s="8">
        <f t="shared" ref="T290:T291" si="311">IF($I290=4,$D290,9999)</f>
        <v>9999</v>
      </c>
      <c r="U290" s="8">
        <f t="shared" ref="U290:U291" si="312">IF($I290=4,$C290,9999)</f>
        <v>9999</v>
      </c>
      <c r="V290" s="8">
        <f t="shared" ref="V290" si="313">IF($I290=0,$D290,9999)</f>
        <v>9999</v>
      </c>
      <c r="W290" s="8">
        <f t="shared" ref="W290" si="314">IF($I290=0,$C290,9999)</f>
        <v>9999</v>
      </c>
    </row>
    <row r="291" spans="1:23" x14ac:dyDescent="0.2">
      <c r="A291" s="7">
        <v>2414</v>
      </c>
      <c r="B291" s="7"/>
      <c r="C291" s="8">
        <f>[283]Sheet2!$J$5</f>
        <v>19.213999999999999</v>
      </c>
      <c r="D291" s="8">
        <f>[283]Sheet2!$J$4</f>
        <v>-72.584000000000003</v>
      </c>
      <c r="E291" s="7">
        <f>[283]Sheet2!$D$8</f>
        <v>135.11852871090218</v>
      </c>
      <c r="F291" s="7" t="str">
        <f>[283]Sheet2!$G$4</f>
        <v>Artibonite</v>
      </c>
      <c r="G291" s="7" t="str">
        <f>[283]Sheet2!$G$5</f>
        <v>Haiti</v>
      </c>
      <c r="H291" s="7" t="str">
        <f>[283]Sheet2!$H$8</f>
        <v>2</v>
      </c>
      <c r="I291" s="7">
        <f t="shared" si="282"/>
        <v>2</v>
      </c>
      <c r="J291" s="15" t="e">
        <f>[283]Sheet2!$H$9</f>
        <v>#N/A</v>
      </c>
      <c r="K291" s="19">
        <f>[283]Sheet2!$D$9</f>
        <v>7.8921940341499912</v>
      </c>
      <c r="L291" s="9">
        <f>[283]Sheet2!$D$7</f>
        <v>43922</v>
      </c>
      <c r="N291" s="8">
        <f t="shared" si="305"/>
        <v>9999</v>
      </c>
      <c r="O291" s="8">
        <f t="shared" si="306"/>
        <v>9999</v>
      </c>
      <c r="P291" s="8">
        <f t="shared" si="307"/>
        <v>-72.584000000000003</v>
      </c>
      <c r="Q291" s="8">
        <f t="shared" si="308"/>
        <v>19.213999999999999</v>
      </c>
      <c r="R291" s="8">
        <f t="shared" si="309"/>
        <v>9999</v>
      </c>
      <c r="S291" s="8">
        <f t="shared" si="310"/>
        <v>9999</v>
      </c>
      <c r="T291" s="8">
        <f t="shared" si="311"/>
        <v>9999</v>
      </c>
      <c r="U291" s="8">
        <f t="shared" si="312"/>
        <v>9999</v>
      </c>
      <c r="V291" s="8">
        <f t="shared" ref="V291" si="315">IF($I291=0,$D291,9999)</f>
        <v>9999</v>
      </c>
      <c r="W291" s="8">
        <f t="shared" ref="W291" si="316">IF($I291=0,$C291,9999)</f>
        <v>9999</v>
      </c>
    </row>
    <row r="292" spans="1:23" x14ac:dyDescent="0.2">
      <c r="A292" s="7">
        <v>2481</v>
      </c>
      <c r="B292" s="7"/>
      <c r="C292" s="8">
        <f>[284]Sheet2!$J$4</f>
        <v>-85.994</v>
      </c>
      <c r="D292" s="8">
        <f>[285]Sheet2!$J$4</f>
        <v>-84.373999999999995</v>
      </c>
      <c r="E292" s="7">
        <f>[285]Sheet2!$D$8</f>
        <v>0</v>
      </c>
      <c r="F292" s="7" t="str">
        <f>[285]Sheet2!$G$4</f>
        <v>Patuca</v>
      </c>
      <c r="G292" s="7" t="str">
        <f>[285]Sheet2!$G$5</f>
        <v>Honduras</v>
      </c>
      <c r="H292" s="7" t="str">
        <f>[285]Sheet2!$H$8</f>
        <v>1</v>
      </c>
      <c r="I292" s="7">
        <f t="shared" si="282"/>
        <v>1</v>
      </c>
      <c r="J292" s="15" t="e">
        <f>[285]Sheet2!$H$9</f>
        <v>#N/A</v>
      </c>
      <c r="K292" s="19">
        <f>[285]Sheet2!$D$9</f>
        <v>0</v>
      </c>
      <c r="L292" s="9">
        <f>[285]Sheet2!$D$7</f>
        <v>43856</v>
      </c>
      <c r="N292" s="8">
        <f t="shared" ref="N292:N293" si="317">IF($I292=1,$D292,9999)</f>
        <v>-84.373999999999995</v>
      </c>
      <c r="O292" s="8">
        <f t="shared" ref="O292:O293" si="318">IF($I292=1,$C292,9999)</f>
        <v>-85.994</v>
      </c>
      <c r="P292" s="8">
        <f t="shared" ref="P292:P293" si="319">IF($I292=2,$D292,9999)</f>
        <v>9999</v>
      </c>
      <c r="Q292" s="8">
        <f t="shared" ref="Q292:Q293" si="320">IF($I292=2,$C292,9999)</f>
        <v>9999</v>
      </c>
      <c r="R292" s="8">
        <f t="shared" ref="R292:R293" si="321">IF($I292=3,$D292,9999)</f>
        <v>9999</v>
      </c>
      <c r="S292" s="8">
        <f t="shared" ref="S292:S293" si="322">IF($I292=3,$C292,9999)</f>
        <v>9999</v>
      </c>
      <c r="T292" s="8">
        <f t="shared" ref="T292:T293" si="323">IF($I292=4,$D292,9999)</f>
        <v>9999</v>
      </c>
      <c r="U292" s="8">
        <f t="shared" ref="U292:U293" si="324">IF($I292=4,$C292,9999)</f>
        <v>9999</v>
      </c>
      <c r="V292" s="8">
        <f t="shared" ref="V292:V293" si="325">IF($I292=0,$D292,9999)</f>
        <v>9999</v>
      </c>
      <c r="W292" s="8">
        <f t="shared" ref="W292:W293" si="326">IF($I292=0,$C292,9999)</f>
        <v>9999</v>
      </c>
    </row>
    <row r="293" spans="1:23" x14ac:dyDescent="0.2">
      <c r="A293" s="7">
        <v>2489</v>
      </c>
      <c r="B293" s="7"/>
      <c r="C293" s="8">
        <f>[285]Sheet2!$J$5</f>
        <v>15.614000000000001</v>
      </c>
      <c r="D293" s="8">
        <f>[285]Sheet2!$J$4</f>
        <v>-84.373999999999995</v>
      </c>
      <c r="E293" s="7">
        <f>[285]Sheet2!$D$8</f>
        <v>0</v>
      </c>
      <c r="F293" s="7" t="str">
        <f>[285]Sheet2!$G$4</f>
        <v>Patuca</v>
      </c>
      <c r="G293" s="7" t="str">
        <f>[285]Sheet2!$G$5</f>
        <v>Honduras</v>
      </c>
      <c r="H293" s="7" t="str">
        <f>[285]Sheet2!$H$8</f>
        <v>1</v>
      </c>
      <c r="I293" s="7">
        <f t="shared" si="282"/>
        <v>1</v>
      </c>
      <c r="J293" s="15" t="e">
        <f>[285]Sheet2!$H$9</f>
        <v>#N/A</v>
      </c>
      <c r="K293" s="19">
        <f>[285]Sheet2!$D$9</f>
        <v>0</v>
      </c>
      <c r="L293" s="9">
        <f>[285]Sheet2!$D$7</f>
        <v>43856</v>
      </c>
      <c r="N293" s="8">
        <f t="shared" si="317"/>
        <v>-84.373999999999995</v>
      </c>
      <c r="O293" s="8">
        <f t="shared" si="318"/>
        <v>15.614000000000001</v>
      </c>
      <c r="P293" s="8">
        <f t="shared" si="319"/>
        <v>9999</v>
      </c>
      <c r="Q293" s="8">
        <f t="shared" si="320"/>
        <v>9999</v>
      </c>
      <c r="R293" s="8">
        <f t="shared" si="321"/>
        <v>9999</v>
      </c>
      <c r="S293" s="8">
        <f t="shared" si="322"/>
        <v>9999</v>
      </c>
      <c r="T293" s="8">
        <f t="shared" si="323"/>
        <v>9999</v>
      </c>
      <c r="U293" s="8">
        <f t="shared" si="324"/>
        <v>9999</v>
      </c>
      <c r="V293" s="8">
        <f t="shared" si="325"/>
        <v>9999</v>
      </c>
      <c r="W293" s="8">
        <f t="shared" si="326"/>
        <v>9999</v>
      </c>
    </row>
    <row r="294" spans="1:23" x14ac:dyDescent="0.2">
      <c r="A294" s="7">
        <v>2602</v>
      </c>
      <c r="B294" s="7"/>
      <c r="C294" s="8">
        <f>[286]Sheet2!$J$5</f>
        <v>-14.984999999999999</v>
      </c>
      <c r="D294" s="8">
        <f>[286]Sheet2!$J$4</f>
        <v>-65.024000000000001</v>
      </c>
      <c r="E294" s="7">
        <f>[286]Sheet2!$D$8</f>
        <v>5186.754941288782</v>
      </c>
      <c r="F294" s="7" t="str">
        <f>[286]Sheet2!$G$4</f>
        <v>Mamore</v>
      </c>
      <c r="G294" s="7" t="str">
        <f>[286]Sheet2!$G$5</f>
        <v>Bolivia</v>
      </c>
      <c r="H294" s="7" t="str">
        <f>[286]Sheet2!$H$8</f>
        <v>2</v>
      </c>
      <c r="I294" s="7">
        <f t="shared" si="282"/>
        <v>2</v>
      </c>
      <c r="J294" s="15" t="e">
        <f>[286]Sheet2!$H$9</f>
        <v>#N/A</v>
      </c>
      <c r="K294" s="19">
        <f>[286]Sheet2!$D$9</f>
        <v>11.495043463860435</v>
      </c>
      <c r="L294" s="9">
        <f>[286]Sheet2!$D$7</f>
        <v>43922</v>
      </c>
      <c r="N294" s="8">
        <f t="shared" ref="N294:N296" si="327">IF($I294=1,$D294,9999)</f>
        <v>9999</v>
      </c>
      <c r="O294" s="8">
        <f t="shared" ref="O294:O296" si="328">IF($I294=1,$C294,9999)</f>
        <v>9999</v>
      </c>
      <c r="P294" s="8">
        <f t="shared" ref="P294:P296" si="329">IF($I294=2,$D294,9999)</f>
        <v>-65.024000000000001</v>
      </c>
      <c r="Q294" s="8">
        <f t="shared" ref="Q294:Q296" si="330">IF($I294=2,$C294,9999)</f>
        <v>-14.984999999999999</v>
      </c>
      <c r="R294" s="8">
        <f t="shared" ref="R294:R296" si="331">IF($I294=3,$D294,9999)</f>
        <v>9999</v>
      </c>
      <c r="S294" s="8">
        <f t="shared" ref="S294:S296" si="332">IF($I294=3,$C294,9999)</f>
        <v>9999</v>
      </c>
      <c r="T294" s="8">
        <f t="shared" ref="T294:T296" si="333">IF($I294=4,$D294,9999)</f>
        <v>9999</v>
      </c>
      <c r="U294" s="8">
        <f t="shared" ref="U294:U296" si="334">IF($I294=4,$C294,9999)</f>
        <v>9999</v>
      </c>
      <c r="V294" s="8">
        <f t="shared" ref="V294:V296" si="335">IF($I294=0,$D294,9999)</f>
        <v>9999</v>
      </c>
      <c r="W294" s="8">
        <f t="shared" ref="W294:W296" si="336">IF($I294=0,$C294,9999)</f>
        <v>9999</v>
      </c>
    </row>
    <row r="295" spans="1:23" x14ac:dyDescent="0.2">
      <c r="A295" s="7">
        <v>2619</v>
      </c>
      <c r="B295" s="7"/>
      <c r="C295" s="8">
        <f>[287]Sheet2!$J$5</f>
        <v>-16.155000000000001</v>
      </c>
      <c r="D295" s="8">
        <f>[287]Sheet2!$J$4</f>
        <v>-64.664000000000001</v>
      </c>
      <c r="E295" s="7">
        <f>[287]Sheet2!$D$8</f>
        <v>548.58419871283195</v>
      </c>
      <c r="F295" s="7" t="str">
        <f>[287]Sheet2!$G$4</f>
        <v>Ichilo</v>
      </c>
      <c r="G295" s="7" t="str">
        <f>[287]Sheet2!$G$5</f>
        <v>Bolivia</v>
      </c>
      <c r="H295" s="7" t="str">
        <f>[287]Sheet2!$H$8</f>
        <v>1</v>
      </c>
      <c r="I295" s="7">
        <f t="shared" si="282"/>
        <v>1</v>
      </c>
      <c r="J295" s="15" t="e">
        <f>[287]Sheet2!$H$9</f>
        <v>#N/A</v>
      </c>
      <c r="K295" s="19">
        <f>[287]Sheet2!$D$9</f>
        <v>30.995536052959462</v>
      </c>
      <c r="L295" s="9">
        <f>[287]Sheet2!$D$7</f>
        <v>43922</v>
      </c>
      <c r="N295" s="8">
        <f t="shared" si="327"/>
        <v>-64.664000000000001</v>
      </c>
      <c r="O295" s="8">
        <f t="shared" si="328"/>
        <v>-16.155000000000001</v>
      </c>
      <c r="P295" s="8">
        <f t="shared" si="329"/>
        <v>9999</v>
      </c>
      <c r="Q295" s="8">
        <f t="shared" si="330"/>
        <v>9999</v>
      </c>
      <c r="R295" s="8">
        <f t="shared" si="331"/>
        <v>9999</v>
      </c>
      <c r="S295" s="8">
        <f t="shared" si="332"/>
        <v>9999</v>
      </c>
      <c r="T295" s="8">
        <f t="shared" si="333"/>
        <v>9999</v>
      </c>
      <c r="U295" s="8">
        <f t="shared" si="334"/>
        <v>9999</v>
      </c>
      <c r="V295" s="8">
        <f t="shared" si="335"/>
        <v>9999</v>
      </c>
      <c r="W295" s="8">
        <f t="shared" si="336"/>
        <v>9999</v>
      </c>
    </row>
    <row r="296" spans="1:23" x14ac:dyDescent="0.2">
      <c r="A296" s="7">
        <v>2621</v>
      </c>
      <c r="B296" s="7"/>
      <c r="C296" s="8">
        <f>[288]Sheet2!$J$5</f>
        <v>-15.885</v>
      </c>
      <c r="D296" s="8">
        <f>[288]Sheet2!$J$4</f>
        <v>-65.293999999999997</v>
      </c>
      <c r="E296" s="7">
        <f>[288]Sheet2!$D$8</f>
        <v>890.97756181372517</v>
      </c>
      <c r="F296" s="7" t="str">
        <f>[288]Sheet2!$G$4</f>
        <v>Isiboro</v>
      </c>
      <c r="G296" s="7" t="str">
        <f>[288]Sheet2!$G$5</f>
        <v>Bolivia</v>
      </c>
      <c r="H296" s="7" t="str">
        <f>[288]Sheet2!$H$8</f>
        <v>1</v>
      </c>
      <c r="I296" s="7">
        <f t="shared" si="282"/>
        <v>1</v>
      </c>
      <c r="J296" s="15" t="e">
        <f>[288]Sheet2!$H$9</f>
        <v>#N/A</v>
      </c>
      <c r="K296" s="19">
        <f>[288]Sheet2!$D$9</f>
        <v>63.473336595358056</v>
      </c>
      <c r="L296" s="9">
        <f>[288]Sheet2!$D$7</f>
        <v>43923</v>
      </c>
      <c r="N296" s="8">
        <f t="shared" si="327"/>
        <v>-65.293999999999997</v>
      </c>
      <c r="O296" s="8">
        <f t="shared" si="328"/>
        <v>-15.885</v>
      </c>
      <c r="P296" s="8">
        <f t="shared" si="329"/>
        <v>9999</v>
      </c>
      <c r="Q296" s="8">
        <f t="shared" si="330"/>
        <v>9999</v>
      </c>
      <c r="R296" s="8">
        <f t="shared" si="331"/>
        <v>9999</v>
      </c>
      <c r="S296" s="8">
        <f t="shared" si="332"/>
        <v>9999</v>
      </c>
      <c r="T296" s="8">
        <f t="shared" si="333"/>
        <v>9999</v>
      </c>
      <c r="U296" s="8">
        <f t="shared" si="334"/>
        <v>9999</v>
      </c>
      <c r="V296" s="8">
        <f t="shared" si="335"/>
        <v>9999</v>
      </c>
      <c r="W296" s="8">
        <f t="shared" si="336"/>
        <v>9999</v>
      </c>
    </row>
    <row r="297" spans="1:23" x14ac:dyDescent="0.2">
      <c r="A297" s="7">
        <v>10509</v>
      </c>
      <c r="B297" s="7"/>
      <c r="C297" s="8">
        <f>[289]Sheet2!$J$5</f>
        <v>-33.005387116400001</v>
      </c>
      <c r="D297" s="8">
        <f>[289]Sheet2!$J$4</f>
        <v>142.36343256149999</v>
      </c>
      <c r="E297" s="7">
        <f>[289]Sheet2!$D$8</f>
        <v>181.31848377244921</v>
      </c>
      <c r="F297" s="7" t="str">
        <f>[289]Sheet2!$G$4</f>
        <v>Darling</v>
      </c>
      <c r="G297" s="7" t="str">
        <f>[289]Sheet2!$G$5</f>
        <v>Australia</v>
      </c>
      <c r="H297" s="7" t="str">
        <f>[289]Sheet2!$H$8</f>
        <v>2</v>
      </c>
      <c r="I297" s="7">
        <f t="shared" si="282"/>
        <v>2</v>
      </c>
      <c r="J297" s="15" t="e">
        <f>[289]Sheet2!$H$9</f>
        <v>#N/A</v>
      </c>
      <c r="K297" s="19">
        <f>[289]Sheet2!$D$9</f>
        <v>0.19376325894103363</v>
      </c>
      <c r="L297" s="9">
        <f>[289]Sheet2!$D$7</f>
        <v>43923</v>
      </c>
      <c r="N297" s="8">
        <f t="shared" ref="N297" si="337">IF($I297=1,$D297,9999)</f>
        <v>9999</v>
      </c>
      <c r="O297" s="8">
        <f t="shared" ref="O297" si="338">IF($I297=1,$C297,9999)</f>
        <v>9999</v>
      </c>
      <c r="P297" s="8">
        <f t="shared" ref="P297" si="339">IF($I297=2,$D297,9999)</f>
        <v>142.36343256149999</v>
      </c>
      <c r="Q297" s="8">
        <f t="shared" ref="Q297" si="340">IF($I297=2,$C297,9999)</f>
        <v>-33.005387116400001</v>
      </c>
      <c r="R297" s="8">
        <f t="shared" ref="R297" si="341">IF($I297=3,$D297,9999)</f>
        <v>9999</v>
      </c>
      <c r="S297" s="8">
        <f t="shared" ref="S297" si="342">IF($I297=3,$C297,9999)</f>
        <v>9999</v>
      </c>
      <c r="T297" s="8">
        <f t="shared" ref="T297" si="343">IF($I297=4,$D297,9999)</f>
        <v>9999</v>
      </c>
      <c r="U297" s="8">
        <f t="shared" ref="U297" si="344">IF($I297=4,$C297,9999)</f>
        <v>9999</v>
      </c>
      <c r="V297" s="8">
        <f t="shared" ref="V297" si="345">IF($I297=0,$D297,9999)</f>
        <v>9999</v>
      </c>
      <c r="W297" s="8">
        <f t="shared" ref="W297" si="346">IF($I297=0,$C297,9999)</f>
        <v>9999</v>
      </c>
    </row>
    <row r="298" spans="1:23" x14ac:dyDescent="0.2">
      <c r="A298" s="7">
        <v>11808</v>
      </c>
      <c r="B298" s="7"/>
      <c r="C298" s="8">
        <f>[290]Sheet2!$J$5</f>
        <v>18.926163995900001</v>
      </c>
      <c r="D298" s="8">
        <f>[290]Sheet2!$J$4</f>
        <v>32.257910664850002</v>
      </c>
      <c r="E298" s="15">
        <f>[290]Sheet2!$D$8</f>
        <v>0.97715788865936337</v>
      </c>
      <c r="F298" s="7" t="str">
        <f>[290]Sheet2!$G$4</f>
        <v>Merowe Reservoir</v>
      </c>
      <c r="G298" s="7" t="str">
        <f>[290]Sheet2!$G$5</f>
        <v>Sudan</v>
      </c>
      <c r="H298" s="7" t="str">
        <f>[290]Sheet2!$H$8</f>
        <v>4</v>
      </c>
      <c r="I298" s="7">
        <f t="shared" si="282"/>
        <v>4</v>
      </c>
      <c r="J298" s="15">
        <f>[290]Sheet2!$D$8</f>
        <v>0.97715788865936337</v>
      </c>
      <c r="K298" s="19"/>
      <c r="L298" s="9">
        <f>[290]Sheet2!$D$7</f>
        <v>43923</v>
      </c>
      <c r="N298" s="8">
        <f t="shared" ref="N298:N299" si="347">IF($I298=1,$D298,9999)</f>
        <v>9999</v>
      </c>
      <c r="O298" s="8">
        <f t="shared" ref="O298:O299" si="348">IF($I298=1,$C298,9999)</f>
        <v>9999</v>
      </c>
      <c r="P298" s="8">
        <f t="shared" ref="P298:P299" si="349">IF($I298=2,$D298,9999)</f>
        <v>9999</v>
      </c>
      <c r="Q298" s="8">
        <f t="shared" ref="Q298:Q299" si="350">IF($I298=2,$C298,9999)</f>
        <v>9999</v>
      </c>
      <c r="R298" s="8">
        <f t="shared" ref="R298:R299" si="351">IF($I298=3,$D298,9999)</f>
        <v>9999</v>
      </c>
      <c r="S298" s="8">
        <f t="shared" ref="S298:S299" si="352">IF($I298=3,$C298,9999)</f>
        <v>9999</v>
      </c>
      <c r="T298" s="8">
        <f t="shared" ref="T298:T299" si="353">IF($I298=4,$D298,9999)</f>
        <v>32.257910664850002</v>
      </c>
      <c r="U298" s="8">
        <f t="shared" ref="U298:U299" si="354">IF($I298=4,$C298,9999)</f>
        <v>18.926163995900001</v>
      </c>
      <c r="V298" s="8">
        <f t="shared" ref="V298" si="355">IF($I298=0,$D298,9999)</f>
        <v>9999</v>
      </c>
      <c r="W298" s="8">
        <f t="shared" ref="W298" si="356">IF($I298=0,$C298,9999)</f>
        <v>9999</v>
      </c>
    </row>
    <row r="299" spans="1:23" x14ac:dyDescent="0.2">
      <c r="A299" s="7">
        <v>11842</v>
      </c>
      <c r="B299" s="7"/>
      <c r="C299" s="8">
        <f>[291]Sheet2!$J$5</f>
        <v>21.6282163405</v>
      </c>
      <c r="D299" s="8">
        <f>[291]Sheet2!$J$4</f>
        <v>31.118244517000001</v>
      </c>
      <c r="E299" s="21">
        <f>[291]Sheet2!$D$8</f>
        <v>0.97553248933404701</v>
      </c>
      <c r="F299" s="7" t="str">
        <f>[291]Sheet2!$G$4</f>
        <v>Nile</v>
      </c>
      <c r="G299" s="7" t="str">
        <f>[291]Sheet2!$G$5</f>
        <v>Sudan</v>
      </c>
      <c r="H299" s="7" t="str">
        <f>[291]Sheet2!$H$8</f>
        <v>3</v>
      </c>
      <c r="I299" s="7">
        <f t="shared" si="282"/>
        <v>3</v>
      </c>
      <c r="J299" s="15"/>
      <c r="K299" s="19"/>
      <c r="L299" s="9">
        <f>[291]Sheet2!$D$7</f>
        <v>43923</v>
      </c>
      <c r="N299" s="8">
        <f t="shared" si="347"/>
        <v>9999</v>
      </c>
      <c r="O299" s="8">
        <f t="shared" si="348"/>
        <v>9999</v>
      </c>
      <c r="P299" s="8">
        <f t="shared" si="349"/>
        <v>9999</v>
      </c>
      <c r="Q299" s="8">
        <f t="shared" si="350"/>
        <v>9999</v>
      </c>
      <c r="R299" s="8">
        <f t="shared" si="351"/>
        <v>31.118244517000001</v>
      </c>
      <c r="S299" s="8">
        <f t="shared" si="352"/>
        <v>21.6282163405</v>
      </c>
      <c r="T299" s="8">
        <f t="shared" si="353"/>
        <v>9999</v>
      </c>
      <c r="U299" s="8">
        <f t="shared" si="354"/>
        <v>9999</v>
      </c>
      <c r="V299" s="8">
        <f t="shared" ref="V299" si="357">IF($I299=0,$D299,9999)</f>
        <v>9999</v>
      </c>
      <c r="W299" s="8">
        <f t="shared" ref="W299" si="358">IF($I299=0,$C299,9999)</f>
        <v>9999</v>
      </c>
    </row>
    <row r="300" spans="1:23" x14ac:dyDescent="0.2">
      <c r="A300" s="7">
        <v>12298</v>
      </c>
      <c r="B300" s="7"/>
      <c r="C300" s="8">
        <f>[292]Sheet2!$J$5</f>
        <v>33.419790656750003</v>
      </c>
      <c r="D300" s="8">
        <f>[292]Sheet2!$J$4</f>
        <v>43.420297554549997</v>
      </c>
      <c r="E300" s="21">
        <f>[292]Sheet2!$D$8</f>
        <v>1.0009501032854935</v>
      </c>
      <c r="F300" s="7" t="str">
        <f>[292]Sheet2!$G$4</f>
        <v>Habbaniyah Lake</v>
      </c>
      <c r="G300" s="7" t="str">
        <f>[292]Sheet2!$G$5</f>
        <v>Iraq</v>
      </c>
      <c r="H300" s="7" t="str">
        <f>[292]Sheet2!$H$8</f>
        <v>4</v>
      </c>
      <c r="I300" s="7">
        <f t="shared" si="282"/>
        <v>4</v>
      </c>
      <c r="J300" s="15">
        <f>[292]Sheet2!$D$8</f>
        <v>1.0009501032854935</v>
      </c>
      <c r="K300" s="19">
        <f>[292]Sheet2!$D$8</f>
        <v>1.0009501032854935</v>
      </c>
      <c r="L300" s="9">
        <f>[292]Sheet2!$D$7</f>
        <v>43923</v>
      </c>
      <c r="N300" s="8">
        <f t="shared" ref="N300" si="359">IF($I300=1,$D300,9999)</f>
        <v>9999</v>
      </c>
      <c r="O300" s="8">
        <f t="shared" ref="O300" si="360">IF($I300=1,$C300,9999)</f>
        <v>9999</v>
      </c>
      <c r="P300" s="8">
        <f t="shared" ref="P300" si="361">IF($I300=2,$D300,9999)</f>
        <v>9999</v>
      </c>
      <c r="Q300" s="8">
        <f t="shared" ref="Q300" si="362">IF($I300=2,$C300,9999)</f>
        <v>9999</v>
      </c>
      <c r="R300" s="8">
        <f t="shared" ref="R300" si="363">IF($I300=3,$D300,9999)</f>
        <v>9999</v>
      </c>
      <c r="S300" s="8">
        <f t="shared" ref="S300" si="364">IF($I300=3,$C300,9999)</f>
        <v>9999</v>
      </c>
      <c r="T300" s="8">
        <f t="shared" ref="T300" si="365">IF($I300=4,$D300,9999)</f>
        <v>43.420297554549997</v>
      </c>
      <c r="U300" s="8">
        <f t="shared" ref="U300" si="366">IF($I300=4,$C300,9999)</f>
        <v>33.419790656750003</v>
      </c>
      <c r="V300" s="8">
        <f t="shared" ref="V300" si="367">IF($I300=0,$D300,9999)</f>
        <v>9999</v>
      </c>
      <c r="W300" s="8">
        <f t="shared" ref="W300" si="368">IF($I300=0,$C300,9999)</f>
        <v>9999</v>
      </c>
    </row>
    <row r="301" spans="1:23" x14ac:dyDescent="0.2">
      <c r="A301" s="7">
        <v>14973</v>
      </c>
      <c r="B301" s="7"/>
      <c r="C301" s="8">
        <f>[293]Sheet2!$J$5</f>
        <v>-17.865000000000002</v>
      </c>
      <c r="D301" s="8">
        <f>[293]Sheet2!$J$4</f>
        <v>19.62</v>
      </c>
      <c r="E301" s="7">
        <f>[293]Sheet2!$D$8</f>
        <v>681.06776245602305</v>
      </c>
      <c r="F301" s="7" t="str">
        <f>[293]Sheet2!$G$4</f>
        <v>Cuito</v>
      </c>
      <c r="G301" s="7" t="str">
        <f>[293]Sheet2!$G$5</f>
        <v>Namibia</v>
      </c>
      <c r="H301" s="7" t="str">
        <f>[293]Sheet2!$H$8</f>
        <v>2</v>
      </c>
      <c r="I301" s="7">
        <f t="shared" si="282"/>
        <v>2</v>
      </c>
      <c r="J301" s="15" t="e">
        <f>[293]Sheet2!$H$9</f>
        <v>#N/A</v>
      </c>
      <c r="K301" s="19">
        <f>[293]Sheet2!$D$9</f>
        <v>1.4357786384868798</v>
      </c>
      <c r="L301" s="9">
        <f>[293]Sheet2!$D$7</f>
        <v>43922</v>
      </c>
      <c r="N301" s="8">
        <f t="shared" ref="N301" si="369">IF($I301=1,$D301,9999)</f>
        <v>9999</v>
      </c>
      <c r="O301" s="8">
        <f t="shared" ref="O301" si="370">IF($I301=1,$C301,9999)</f>
        <v>9999</v>
      </c>
      <c r="P301" s="8">
        <f t="shared" ref="P301" si="371">IF($I301=2,$D301,9999)</f>
        <v>19.62</v>
      </c>
      <c r="Q301" s="8">
        <f t="shared" ref="Q301" si="372">IF($I301=2,$C301,9999)</f>
        <v>-17.865000000000002</v>
      </c>
      <c r="R301" s="8">
        <f t="shared" ref="R301" si="373">IF($I301=3,$D301,9999)</f>
        <v>9999</v>
      </c>
      <c r="S301" s="8">
        <f t="shared" ref="S301" si="374">IF($I301=3,$C301,9999)</f>
        <v>9999</v>
      </c>
      <c r="T301" s="8">
        <f t="shared" ref="T301" si="375">IF($I301=4,$D301,9999)</f>
        <v>9999</v>
      </c>
      <c r="U301" s="8">
        <f t="shared" ref="U301" si="376">IF($I301=4,$C301,9999)</f>
        <v>9999</v>
      </c>
      <c r="V301" s="8">
        <f t="shared" ref="V301" si="377">IF($I301=0,$D301,9999)</f>
        <v>9999</v>
      </c>
      <c r="W301" s="8">
        <f t="shared" ref="W301" si="378">IF($I301=0,$C301,9999)</f>
        <v>9999</v>
      </c>
    </row>
    <row r="302" spans="1:23" x14ac:dyDescent="0.2">
      <c r="A302" s="7">
        <v>28546</v>
      </c>
      <c r="B302" s="7"/>
      <c r="C302" s="8">
        <f>[294]Sheet2!$J$5</f>
        <v>14.759</v>
      </c>
      <c r="D302" s="8">
        <f>[294]Sheet2!$J$4</f>
        <v>35.909999999999997</v>
      </c>
      <c r="E302" s="21">
        <f>[294]Sheet2!$D$8</f>
        <v>0.88898182080231958</v>
      </c>
      <c r="F302" s="7" t="str">
        <f>[294]Sheet2!$G$4</f>
        <v>Khasm El Girba Dam</v>
      </c>
      <c r="G302" s="7" t="str">
        <f>[294]Sheet2!$G$5</f>
        <v>Sudan</v>
      </c>
      <c r="H302" s="7" t="str">
        <f>[294]Sheet2!$H$8</f>
        <v>1</v>
      </c>
      <c r="I302" s="7">
        <f t="shared" si="282"/>
        <v>1</v>
      </c>
      <c r="J302" s="15"/>
      <c r="K302" s="19"/>
      <c r="L302" s="9">
        <f>[294]Sheet2!$D$7</f>
        <v>43922</v>
      </c>
      <c r="N302" s="8">
        <f t="shared" ref="N302:N306" si="379">IF($I302=1,$D302,9999)</f>
        <v>35.909999999999997</v>
      </c>
      <c r="O302" s="8">
        <f t="shared" ref="O302:O306" si="380">IF($I302=1,$C302,9999)</f>
        <v>14.759</v>
      </c>
      <c r="P302" s="8">
        <f t="shared" ref="P302:P306" si="381">IF($I302=2,$D302,9999)</f>
        <v>9999</v>
      </c>
      <c r="Q302" s="8">
        <f t="shared" ref="Q302:Q306" si="382">IF($I302=2,$C302,9999)</f>
        <v>9999</v>
      </c>
      <c r="R302" s="8">
        <f t="shared" ref="R302:R306" si="383">IF($I302=3,$D302,9999)</f>
        <v>9999</v>
      </c>
      <c r="S302" s="8">
        <f t="shared" ref="S302:S306" si="384">IF($I302=3,$C302,9999)</f>
        <v>9999</v>
      </c>
      <c r="T302" s="8">
        <f t="shared" ref="T302:T306" si="385">IF($I302=4,$D302,9999)</f>
        <v>9999</v>
      </c>
      <c r="U302" s="8">
        <f t="shared" ref="U302:U306" si="386">IF($I302=4,$C302,9999)</f>
        <v>9999</v>
      </c>
      <c r="V302" s="8">
        <f t="shared" ref="V302:V309" si="387">IF($I302=0,$D302,9999)</f>
        <v>9999</v>
      </c>
      <c r="W302" s="8">
        <f t="shared" ref="W302:W309" si="388">IF($I302=0,$C302,9999)</f>
        <v>9999</v>
      </c>
    </row>
    <row r="303" spans="1:23" x14ac:dyDescent="0.2">
      <c r="A303" s="7">
        <v>31238</v>
      </c>
      <c r="B303" s="7"/>
      <c r="C303" s="8">
        <f>[295]Sheet2!$J$5</f>
        <v>24.704000000000001</v>
      </c>
      <c r="D303" s="8">
        <f>[295]Sheet2!$J$4</f>
        <v>92.925000000000011</v>
      </c>
      <c r="E303" s="7">
        <f>[295]Sheet2!$D$8</f>
        <v>33.510817121313096</v>
      </c>
      <c r="F303" s="7" t="str">
        <f>[295]Sheet2!$G$4</f>
        <v>Meghna</v>
      </c>
      <c r="G303" s="7" t="str">
        <f>[295]Sheet2!$G$5</f>
        <v>Bangladesh</v>
      </c>
      <c r="H303" s="7" t="str">
        <f>[295]Sheet2!$H$8</f>
        <v>1</v>
      </c>
      <c r="I303" s="7">
        <f t="shared" si="282"/>
        <v>1</v>
      </c>
      <c r="J303" s="15" t="e">
        <f>[295]Sheet2!$H$9</f>
        <v>#N/A</v>
      </c>
      <c r="K303" s="19">
        <f>[295]Sheet2!$D$9</f>
        <v>4.6108808154900736</v>
      </c>
      <c r="L303" s="9">
        <f>[295]Sheet2!$D$7</f>
        <v>43922</v>
      </c>
      <c r="N303" s="8">
        <f t="shared" si="379"/>
        <v>92.925000000000011</v>
      </c>
      <c r="O303" s="8">
        <f t="shared" si="380"/>
        <v>24.704000000000001</v>
      </c>
      <c r="P303" s="8">
        <f t="shared" si="381"/>
        <v>9999</v>
      </c>
      <c r="Q303" s="8">
        <f t="shared" si="382"/>
        <v>9999</v>
      </c>
      <c r="R303" s="8">
        <f t="shared" si="383"/>
        <v>9999</v>
      </c>
      <c r="S303" s="8">
        <f t="shared" si="384"/>
        <v>9999</v>
      </c>
      <c r="T303" s="8">
        <f t="shared" si="385"/>
        <v>9999</v>
      </c>
      <c r="U303" s="8">
        <f t="shared" si="386"/>
        <v>9999</v>
      </c>
      <c r="V303" s="8">
        <f t="shared" si="387"/>
        <v>9999</v>
      </c>
      <c r="W303" s="8">
        <f t="shared" si="388"/>
        <v>9999</v>
      </c>
    </row>
    <row r="304" spans="1:23" x14ac:dyDescent="0.2">
      <c r="A304" s="7">
        <v>100014</v>
      </c>
      <c r="B304" s="7"/>
      <c r="C304" s="8">
        <f>[296]Sheet2!$J$5</f>
        <v>18.584000000000003</v>
      </c>
      <c r="D304" s="8">
        <f>[296]Sheet2!$J$4</f>
        <v>-95.668999999999997</v>
      </c>
      <c r="E304" s="7">
        <f>[296]Sheet2!$D$8</f>
        <v>153.55528065027028</v>
      </c>
      <c r="F304" s="7" t="str">
        <f>[296]Sheet2!$G$4</f>
        <v>Papaloapan</v>
      </c>
      <c r="G304" s="7" t="str">
        <f>[296]Sheet2!$G$5</f>
        <v>Mexico</v>
      </c>
      <c r="H304" s="7" t="str">
        <f>[296]Sheet2!$H$8</f>
        <v>2</v>
      </c>
      <c r="I304" s="7">
        <f t="shared" si="282"/>
        <v>2</v>
      </c>
      <c r="J304" s="15" t="e">
        <f>[296]Sheet2!$H$9</f>
        <v>#N/A</v>
      </c>
      <c r="K304" s="19">
        <f>[296]Sheet2!$D$9</f>
        <v>38.371085910120556</v>
      </c>
      <c r="L304" s="9">
        <f>[296]Sheet2!$D$7</f>
        <v>43922</v>
      </c>
      <c r="N304" s="8">
        <f t="shared" si="379"/>
        <v>9999</v>
      </c>
      <c r="O304" s="8">
        <f t="shared" si="380"/>
        <v>9999</v>
      </c>
      <c r="P304" s="8">
        <f t="shared" si="381"/>
        <v>-95.668999999999997</v>
      </c>
      <c r="Q304" s="8">
        <f t="shared" si="382"/>
        <v>18.584000000000003</v>
      </c>
      <c r="R304" s="8">
        <f t="shared" si="383"/>
        <v>9999</v>
      </c>
      <c r="S304" s="8">
        <f t="shared" si="384"/>
        <v>9999</v>
      </c>
      <c r="T304" s="8">
        <f t="shared" si="385"/>
        <v>9999</v>
      </c>
      <c r="U304" s="8">
        <f t="shared" si="386"/>
        <v>9999</v>
      </c>
      <c r="V304" s="8">
        <f t="shared" si="387"/>
        <v>9999</v>
      </c>
      <c r="W304" s="8">
        <f t="shared" si="388"/>
        <v>9999</v>
      </c>
    </row>
    <row r="305" spans="1:23" x14ac:dyDescent="0.2">
      <c r="A305" s="7">
        <v>100024</v>
      </c>
      <c r="B305" s="7"/>
      <c r="C305" s="8">
        <f>[297]Sheet2!$J$5</f>
        <v>3.5540000000000003</v>
      </c>
      <c r="D305" s="8">
        <f>[297]Sheet2!$J$4</f>
        <v>-76.454000000000008</v>
      </c>
      <c r="E305" s="7">
        <f>[297]Sheet2!$D$8</f>
        <v>424.96759458846691</v>
      </c>
      <c r="F305" s="7" t="str">
        <f>[297]Sheet2!$G$4</f>
        <v>Cauca</v>
      </c>
      <c r="G305" s="7" t="str">
        <f>[297]Sheet2!$G$5</f>
        <v>Site 25</v>
      </c>
      <c r="H305" s="7" t="str">
        <f>[297]Sheet2!$H$8</f>
        <v>2</v>
      </c>
      <c r="I305" s="7">
        <f t="shared" si="282"/>
        <v>2</v>
      </c>
      <c r="J305" s="15" t="e">
        <f>[297]Sheet2!$H$9</f>
        <v>#N/A</v>
      </c>
      <c r="K305" s="19">
        <f>[297]Sheet2!$D$9</f>
        <v>31.495196073207374</v>
      </c>
      <c r="L305" s="9">
        <f>[297]Sheet2!$D$7</f>
        <v>43923</v>
      </c>
      <c r="N305" s="8">
        <f t="shared" si="379"/>
        <v>9999</v>
      </c>
      <c r="O305" s="8">
        <f t="shared" si="380"/>
        <v>9999</v>
      </c>
      <c r="P305" s="8">
        <f t="shared" si="381"/>
        <v>-76.454000000000008</v>
      </c>
      <c r="Q305" s="8">
        <f t="shared" si="382"/>
        <v>3.5540000000000003</v>
      </c>
      <c r="R305" s="8">
        <f t="shared" si="383"/>
        <v>9999</v>
      </c>
      <c r="S305" s="8">
        <f t="shared" si="384"/>
        <v>9999</v>
      </c>
      <c r="T305" s="8">
        <f t="shared" si="385"/>
        <v>9999</v>
      </c>
      <c r="U305" s="8">
        <f t="shared" si="386"/>
        <v>9999</v>
      </c>
      <c r="V305" s="8">
        <f t="shared" si="387"/>
        <v>9999</v>
      </c>
      <c r="W305" s="8">
        <f t="shared" si="388"/>
        <v>9999</v>
      </c>
    </row>
    <row r="306" spans="1:23" x14ac:dyDescent="0.2">
      <c r="A306" s="7">
        <v>100028</v>
      </c>
      <c r="B306" s="7"/>
      <c r="C306" s="8">
        <f>[298]Sheet2!$J$5</f>
        <v>3.8239999999999998</v>
      </c>
      <c r="D306" s="8">
        <f>[298]Sheet2!$J$4</f>
        <v>-76.364000000000004</v>
      </c>
      <c r="E306" s="7">
        <f>[298]Sheet2!$D$8</f>
        <v>704.16577378060902</v>
      </c>
      <c r="F306" s="7" t="str">
        <f>[298]Sheet2!$G$4</f>
        <v>Cauca</v>
      </c>
      <c r="G306" s="7" t="str">
        <f>[298]Sheet2!$G$5</f>
        <v>Site 29</v>
      </c>
      <c r="H306" s="7" t="str">
        <f>[298]Sheet2!$H$8</f>
        <v>2</v>
      </c>
      <c r="I306" s="7">
        <f t="shared" si="282"/>
        <v>2</v>
      </c>
      <c r="J306" s="15" t="e">
        <f>[298]Sheet2!$H$9</f>
        <v>#N/A</v>
      </c>
      <c r="K306" s="19">
        <f>[298]Sheet2!$D$9</f>
        <v>33.888156970510458</v>
      </c>
      <c r="L306" s="9">
        <f>[298]Sheet2!$D$7</f>
        <v>43923</v>
      </c>
      <c r="N306" s="8">
        <f t="shared" si="379"/>
        <v>9999</v>
      </c>
      <c r="O306" s="8">
        <f t="shared" si="380"/>
        <v>9999</v>
      </c>
      <c r="P306" s="8">
        <f t="shared" si="381"/>
        <v>-76.364000000000004</v>
      </c>
      <c r="Q306" s="8">
        <f t="shared" si="382"/>
        <v>3.8239999999999998</v>
      </c>
      <c r="R306" s="8">
        <f t="shared" si="383"/>
        <v>9999</v>
      </c>
      <c r="S306" s="8">
        <f t="shared" si="384"/>
        <v>9999</v>
      </c>
      <c r="T306" s="8">
        <f t="shared" si="385"/>
        <v>9999</v>
      </c>
      <c r="U306" s="8">
        <f t="shared" si="386"/>
        <v>9999</v>
      </c>
      <c r="V306" s="8">
        <f t="shared" si="387"/>
        <v>9999</v>
      </c>
      <c r="W306" s="8">
        <f t="shared" si="388"/>
        <v>9999</v>
      </c>
    </row>
    <row r="307" spans="1:23" x14ac:dyDescent="0.2">
      <c r="A307" s="7">
        <v>100031</v>
      </c>
      <c r="B307" s="7"/>
      <c r="C307" s="8">
        <f>[299]Sheet2!$J$5</f>
        <v>4.0940000000000003</v>
      </c>
      <c r="D307" s="8">
        <f>[299]Sheet2!$J$4</f>
        <v>-76.274000000000001</v>
      </c>
      <c r="E307" s="7">
        <f>[299]Sheet2!$D$8</f>
        <v>120.68610684416308</v>
      </c>
      <c r="F307" s="7" t="str">
        <f>[299]Sheet2!$G$4</f>
        <v>Cauca</v>
      </c>
      <c r="G307" s="7" t="str">
        <f>[299]Sheet2!$G$5</f>
        <v>Colombia</v>
      </c>
      <c r="H307" s="7" t="str">
        <f>[299]Sheet2!$H$8</f>
        <v>2</v>
      </c>
      <c r="I307" s="7">
        <f t="shared" si="282"/>
        <v>2</v>
      </c>
      <c r="J307" s="15" t="e">
        <f>[299]Sheet2!$H$9</f>
        <v>#N/A</v>
      </c>
      <c r="K307" s="19">
        <f>[299]Sheet2!$D$9</f>
        <v>80.099729950546504</v>
      </c>
      <c r="L307" s="9">
        <f>[299]Sheet2!$D$7</f>
        <v>43923</v>
      </c>
      <c r="N307" s="8">
        <f t="shared" ref="N307:N315" si="389">IF($I307=1,$D307,9999)</f>
        <v>9999</v>
      </c>
      <c r="O307" s="8">
        <f t="shared" ref="O307:O315" si="390">IF($I307=1,$C307,9999)</f>
        <v>9999</v>
      </c>
      <c r="P307" s="8">
        <f t="shared" ref="P307:P315" si="391">IF($I307=2,$D307,9999)</f>
        <v>-76.274000000000001</v>
      </c>
      <c r="Q307" s="8">
        <f t="shared" ref="Q307:Q315" si="392">IF($I307=2,$C307,9999)</f>
        <v>4.0940000000000003</v>
      </c>
      <c r="R307" s="8">
        <f t="shared" ref="R307:R315" si="393">IF($I307=3,$D307,9999)</f>
        <v>9999</v>
      </c>
      <c r="S307" s="8">
        <f t="shared" ref="S307:S315" si="394">IF($I307=3,$C307,9999)</f>
        <v>9999</v>
      </c>
      <c r="T307" s="8">
        <f t="shared" ref="T307:T315" si="395">IF($I307=4,$D307,9999)</f>
        <v>9999</v>
      </c>
      <c r="U307" s="8">
        <f t="shared" ref="U307:U315" si="396">IF($I307=4,$C307,9999)</f>
        <v>9999</v>
      </c>
      <c r="V307" s="8">
        <f t="shared" si="387"/>
        <v>9999</v>
      </c>
      <c r="W307" s="8">
        <f t="shared" si="388"/>
        <v>9999</v>
      </c>
    </row>
    <row r="308" spans="1:23" x14ac:dyDescent="0.2">
      <c r="A308" s="7">
        <v>100052</v>
      </c>
      <c r="B308" s="7"/>
      <c r="C308" s="8">
        <f>[300]Sheet2!$J$5</f>
        <v>29.293999999999997</v>
      </c>
      <c r="D308" s="8">
        <f>[300]Sheet2!$J$4</f>
        <v>70.965000000000003</v>
      </c>
      <c r="E308" s="7">
        <f>[300]Sheet2!$D$8</f>
        <v>5342.8804064418273</v>
      </c>
      <c r="F308" s="7" t="str">
        <f>[300]Sheet2!$G$4</f>
        <v>Chenab River</v>
      </c>
      <c r="G308" s="7" t="str">
        <f>[300]Sheet2!$G$5</f>
        <v>Pakistan</v>
      </c>
      <c r="H308" s="7" t="str">
        <f>[300]Sheet2!$H$8</f>
        <v>2</v>
      </c>
      <c r="I308" s="7">
        <f t="shared" si="282"/>
        <v>2</v>
      </c>
      <c r="J308" s="15" t="e">
        <f>[300]Sheet2!$H$9</f>
        <v>#N/A</v>
      </c>
      <c r="K308" s="19">
        <f>[300]Sheet2!$D$9</f>
        <v>4.7325846231126745</v>
      </c>
      <c r="L308" s="9">
        <f>[300]Sheet2!$D$7</f>
        <v>43922</v>
      </c>
      <c r="N308" s="8">
        <f t="shared" si="389"/>
        <v>9999</v>
      </c>
      <c r="O308" s="8">
        <f t="shared" si="390"/>
        <v>9999</v>
      </c>
      <c r="P308" s="8">
        <f t="shared" si="391"/>
        <v>70.965000000000003</v>
      </c>
      <c r="Q308" s="8">
        <f t="shared" si="392"/>
        <v>29.293999999999997</v>
      </c>
      <c r="R308" s="8">
        <f t="shared" si="393"/>
        <v>9999</v>
      </c>
      <c r="S308" s="8">
        <f t="shared" si="394"/>
        <v>9999</v>
      </c>
      <c r="T308" s="8">
        <f t="shared" si="395"/>
        <v>9999</v>
      </c>
      <c r="U308" s="8">
        <f t="shared" si="396"/>
        <v>9999</v>
      </c>
      <c r="V308" s="8">
        <f t="shared" si="387"/>
        <v>9999</v>
      </c>
      <c r="W308" s="8">
        <f t="shared" si="388"/>
        <v>9999</v>
      </c>
    </row>
    <row r="309" spans="1:23" x14ac:dyDescent="0.2">
      <c r="A309" s="7">
        <v>100053</v>
      </c>
      <c r="B309" s="7"/>
      <c r="C309" s="8">
        <f>[301]Sheet2!$J$5</f>
        <v>27.764000000000003</v>
      </c>
      <c r="D309" s="8">
        <f>[301]Sheet2!$J$4</f>
        <v>68.625</v>
      </c>
      <c r="E309" s="7">
        <f>[301]Sheet2!$D$8</f>
        <v>1523.7476740073434</v>
      </c>
      <c r="F309" s="7">
        <f>[301]Sheet2!$G$4</f>
        <v>0</v>
      </c>
      <c r="G309" s="7" t="str">
        <f>[301]Sheet2!$G$5</f>
        <v>Pakistan</v>
      </c>
      <c r="H309" s="7" t="str">
        <f>[301]Sheet2!$H$8</f>
        <v>2</v>
      </c>
      <c r="I309" s="7">
        <f t="shared" si="282"/>
        <v>2</v>
      </c>
      <c r="J309" s="15" t="e">
        <f>[301]Sheet2!$H$9</f>
        <v>#N/A</v>
      </c>
      <c r="K309" s="19">
        <f>[301]Sheet2!$D$9</f>
        <v>1.1030437064907892</v>
      </c>
      <c r="L309" s="9">
        <f>[301]Sheet2!$D$7</f>
        <v>43922</v>
      </c>
      <c r="N309" s="8">
        <f t="shared" si="389"/>
        <v>9999</v>
      </c>
      <c r="O309" s="8">
        <f t="shared" si="390"/>
        <v>9999</v>
      </c>
      <c r="P309" s="8">
        <f t="shared" si="391"/>
        <v>68.625</v>
      </c>
      <c r="Q309" s="8">
        <f t="shared" si="392"/>
        <v>27.764000000000003</v>
      </c>
      <c r="R309" s="8">
        <f t="shared" si="393"/>
        <v>9999</v>
      </c>
      <c r="S309" s="8">
        <f t="shared" si="394"/>
        <v>9999</v>
      </c>
      <c r="T309" s="8">
        <f t="shared" si="395"/>
        <v>9999</v>
      </c>
      <c r="U309" s="8">
        <f t="shared" si="396"/>
        <v>9999</v>
      </c>
      <c r="V309" s="8">
        <f t="shared" si="387"/>
        <v>9999</v>
      </c>
      <c r="W309" s="8">
        <f t="shared" si="388"/>
        <v>9999</v>
      </c>
    </row>
    <row r="310" spans="1:23" x14ac:dyDescent="0.2">
      <c r="A310" s="7">
        <v>100078</v>
      </c>
      <c r="B310" s="7"/>
      <c r="C310" s="8">
        <f>[302]Sheet2!$J$5</f>
        <v>31.904000000000003</v>
      </c>
      <c r="D310" s="8">
        <f>[302]Sheet2!$J$4</f>
        <v>-114.70400000000001</v>
      </c>
      <c r="E310" s="21">
        <f>[302]Sheet2!$D$8</f>
        <v>0.93903869164461429</v>
      </c>
      <c r="F310" s="7" t="str">
        <f>[302]Sheet2!$G$4</f>
        <v>Cienega de Santa Clara</v>
      </c>
      <c r="G310" s="7" t="str">
        <f>[302]Sheet2!$G$5</f>
        <v>Mexico</v>
      </c>
      <c r="H310" s="7" t="str">
        <f>[302]Sheet2!$H$9</f>
        <v>4</v>
      </c>
      <c r="I310" s="7">
        <f t="shared" ref="I310" si="397">VALUE(H310)</f>
        <v>4</v>
      </c>
      <c r="J310" s="15"/>
      <c r="K310" s="19"/>
      <c r="L310" s="9">
        <f>[302]Sheet2!$D$7</f>
        <v>43923</v>
      </c>
      <c r="N310" s="8">
        <f t="shared" si="389"/>
        <v>9999</v>
      </c>
      <c r="O310" s="8">
        <f t="shared" si="390"/>
        <v>9999</v>
      </c>
      <c r="P310" s="8">
        <f t="shared" si="391"/>
        <v>9999</v>
      </c>
      <c r="Q310" s="8">
        <f t="shared" si="392"/>
        <v>9999</v>
      </c>
      <c r="R310" s="8">
        <f t="shared" si="393"/>
        <v>9999</v>
      </c>
      <c r="S310" s="8">
        <f t="shared" si="394"/>
        <v>9999</v>
      </c>
      <c r="T310" s="8">
        <f t="shared" si="395"/>
        <v>-114.70400000000001</v>
      </c>
      <c r="U310" s="8">
        <f t="shared" si="396"/>
        <v>31.904000000000003</v>
      </c>
      <c r="V310" s="8">
        <f t="shared" ref="V310:V321" si="398">IF($I310=0,$D310,9999)</f>
        <v>9999</v>
      </c>
      <c r="W310" s="8">
        <f t="shared" ref="W310:W321" si="399">IF($I310=0,$C310,9999)</f>
        <v>9999</v>
      </c>
    </row>
    <row r="311" spans="1:23" x14ac:dyDescent="0.2">
      <c r="A311" s="7">
        <v>100079</v>
      </c>
      <c r="B311" s="7"/>
      <c r="C311" s="8">
        <f>[303]Sheet2!$J$5</f>
        <v>8.0540000000000003</v>
      </c>
      <c r="D311" s="8">
        <f>[303]Sheet2!$J$4</f>
        <v>-69.343999999999994</v>
      </c>
      <c r="E311" s="7">
        <f>[303]Sheet2!$D$8</f>
        <v>622.16715315425267</v>
      </c>
      <c r="F311" s="7" t="str">
        <f>[303]Sheet2!$G$4</f>
        <v>Apure</v>
      </c>
      <c r="G311" s="7" t="str">
        <f>[303]Sheet2!$G$5</f>
        <v>Venezuela</v>
      </c>
      <c r="H311" s="7" t="str">
        <f>[303]Sheet2!$H$8</f>
        <v>1</v>
      </c>
      <c r="I311" s="7">
        <f t="shared" ref="I311:I315" si="400">VALUE(H311)</f>
        <v>1</v>
      </c>
      <c r="J311" s="15" t="e">
        <f>[303]Sheet2!$H$9</f>
        <v>#N/A</v>
      </c>
      <c r="K311" s="19">
        <f>[303]Sheet2!$D$9</f>
        <v>8.4495270116907051</v>
      </c>
      <c r="L311" s="9">
        <f>[303]Sheet2!$D$7</f>
        <v>43923</v>
      </c>
      <c r="N311" s="8">
        <f t="shared" si="389"/>
        <v>-69.343999999999994</v>
      </c>
      <c r="O311" s="8">
        <f t="shared" si="390"/>
        <v>8.0540000000000003</v>
      </c>
      <c r="P311" s="8">
        <f t="shared" si="391"/>
        <v>9999</v>
      </c>
      <c r="Q311" s="8">
        <f t="shared" si="392"/>
        <v>9999</v>
      </c>
      <c r="R311" s="8">
        <f t="shared" si="393"/>
        <v>9999</v>
      </c>
      <c r="S311" s="8">
        <f t="shared" si="394"/>
        <v>9999</v>
      </c>
      <c r="T311" s="8">
        <f t="shared" si="395"/>
        <v>9999</v>
      </c>
      <c r="U311" s="8">
        <f t="shared" si="396"/>
        <v>9999</v>
      </c>
      <c r="V311" s="8">
        <f t="shared" si="398"/>
        <v>9999</v>
      </c>
      <c r="W311" s="8">
        <f t="shared" si="399"/>
        <v>9999</v>
      </c>
    </row>
    <row r="312" spans="1:23" x14ac:dyDescent="0.2">
      <c r="A312" s="7">
        <v>100080</v>
      </c>
      <c r="B312" s="7"/>
      <c r="C312" s="8">
        <f>[304]Sheet2!$J$5</f>
        <v>7.8739999999999997</v>
      </c>
      <c r="D312" s="8">
        <f>[304]Sheet2!$J$4</f>
        <v>-68.713999999999999</v>
      </c>
      <c r="E312" s="7">
        <f>[304]Sheet2!$D$8</f>
        <v>160.78333818834494</v>
      </c>
      <c r="F312" s="7" t="str">
        <f>[304]Sheet2!$G$4</f>
        <v>Apure</v>
      </c>
      <c r="G312" s="7" t="str">
        <f>[304]Sheet2!$G$5</f>
        <v>Venezuela</v>
      </c>
      <c r="H312" s="7" t="str">
        <f>[304]Sheet2!$H$8</f>
        <v>1</v>
      </c>
      <c r="I312" s="7">
        <f t="shared" si="400"/>
        <v>1</v>
      </c>
      <c r="J312" s="15" t="e">
        <f>[304]Sheet2!$H$9</f>
        <v>#N/A</v>
      </c>
      <c r="K312" s="19">
        <f>[304]Sheet2!$D$9</f>
        <v>1.6144737894230452</v>
      </c>
      <c r="L312" s="9">
        <f>[304]Sheet2!$D$7</f>
        <v>43923</v>
      </c>
      <c r="N312" s="8" t="e">
        <f>IF(#REF!=1,#REF!,9999)</f>
        <v>#REF!</v>
      </c>
      <c r="O312" s="8" t="e">
        <f>IF(#REF!=1,#REF!,9999)</f>
        <v>#REF!</v>
      </c>
      <c r="P312" s="8" t="e">
        <f>IF(#REF!=2,#REF!,9999)</f>
        <v>#REF!</v>
      </c>
      <c r="Q312" s="8" t="e">
        <f>IF(#REF!=2,#REF!,9999)</f>
        <v>#REF!</v>
      </c>
      <c r="R312" s="8" t="e">
        <f>IF(#REF!=3,#REF!,9999)</f>
        <v>#REF!</v>
      </c>
      <c r="S312" s="8" t="e">
        <f>IF(#REF!=3,#REF!,9999)</f>
        <v>#REF!</v>
      </c>
      <c r="T312" s="8" t="e">
        <f>IF(#REF!=4,#REF!,9999)</f>
        <v>#REF!</v>
      </c>
      <c r="U312" s="8" t="e">
        <f>IF(#REF!=4,#REF!,9999)</f>
        <v>#REF!</v>
      </c>
      <c r="V312" s="8">
        <f t="shared" si="398"/>
        <v>9999</v>
      </c>
      <c r="W312" s="8">
        <f t="shared" si="399"/>
        <v>9999</v>
      </c>
    </row>
    <row r="313" spans="1:23" x14ac:dyDescent="0.2">
      <c r="A313" s="7">
        <v>100081</v>
      </c>
      <c r="B313" s="7"/>
      <c r="C313" s="8">
        <f>[305]Sheet2!$J$5</f>
        <v>7.5140000000000002</v>
      </c>
      <c r="D313" s="8">
        <f>[305]Sheet2!$J$4</f>
        <v>-68.444000000000003</v>
      </c>
      <c r="E313" s="7">
        <f>[305]Sheet2!$D$8</f>
        <v>0</v>
      </c>
      <c r="F313" s="7" t="str">
        <f>[305]Sheet2!$G$4</f>
        <v>Rio Apure</v>
      </c>
      <c r="G313" s="7" t="str">
        <f>[305]Sheet2!$G$5</f>
        <v>Venezuela</v>
      </c>
      <c r="H313" s="7" t="str">
        <f>[305]Sheet2!$H$8</f>
        <v>1</v>
      </c>
      <c r="I313" s="7">
        <f t="shared" si="400"/>
        <v>1</v>
      </c>
      <c r="J313" s="15" t="e">
        <f>[305]Sheet2!$H$9</f>
        <v>#N/A</v>
      </c>
      <c r="K313" s="19">
        <f>[305]Sheet2!$D$9</f>
        <v>0</v>
      </c>
      <c r="L313" s="9">
        <f>[305]Sheet2!$D$7</f>
        <v>43923</v>
      </c>
      <c r="N313" s="8">
        <f t="shared" si="389"/>
        <v>-68.444000000000003</v>
      </c>
      <c r="O313" s="8">
        <f t="shared" si="390"/>
        <v>7.5140000000000002</v>
      </c>
      <c r="P313" s="8">
        <f t="shared" si="391"/>
        <v>9999</v>
      </c>
      <c r="Q313" s="8">
        <f t="shared" si="392"/>
        <v>9999</v>
      </c>
      <c r="R313" s="8">
        <f t="shared" si="393"/>
        <v>9999</v>
      </c>
      <c r="S313" s="8">
        <f t="shared" si="394"/>
        <v>9999</v>
      </c>
      <c r="T313" s="8">
        <f t="shared" si="395"/>
        <v>9999</v>
      </c>
      <c r="U313" s="8">
        <f t="shared" si="396"/>
        <v>9999</v>
      </c>
      <c r="V313" s="8">
        <f t="shared" si="398"/>
        <v>9999</v>
      </c>
      <c r="W313" s="8">
        <f t="shared" si="399"/>
        <v>9999</v>
      </c>
    </row>
    <row r="314" spans="1:23" x14ac:dyDescent="0.2">
      <c r="A314" s="7">
        <v>100084</v>
      </c>
      <c r="B314" s="7"/>
      <c r="C314" s="8">
        <f>[306]Sheet2!$J$5</f>
        <v>7.0640000000000001</v>
      </c>
      <c r="D314" s="8">
        <f>[306]Sheet2!$J$4</f>
        <v>-67.543999999999997</v>
      </c>
      <c r="E314" s="7">
        <f>[306]Sheet2!$D$8</f>
        <v>37.674478175117258</v>
      </c>
      <c r="F314" s="7" t="str">
        <f>[306]Sheet2!$G$4</f>
        <v>Rio Apure</v>
      </c>
      <c r="G314" s="7" t="str">
        <f>[306]Sheet2!$G$5</f>
        <v>Venezuela</v>
      </c>
      <c r="H314" s="7" t="str">
        <f>[306]Sheet2!$H$8</f>
        <v>1</v>
      </c>
      <c r="I314" s="7">
        <f t="shared" si="400"/>
        <v>1</v>
      </c>
      <c r="J314" s="15" t="e">
        <f>[306]Sheet2!$H$9</f>
        <v>#N/A</v>
      </c>
      <c r="K314" s="19">
        <f>[306]Sheet2!$D$9</f>
        <v>4.5090970319488083E-2</v>
      </c>
      <c r="L314" s="9">
        <f>[306]Sheet2!$D$7</f>
        <v>43923</v>
      </c>
      <c r="N314" s="8">
        <f t="shared" si="389"/>
        <v>-67.543999999999997</v>
      </c>
      <c r="O314" s="8">
        <f t="shared" si="390"/>
        <v>7.0640000000000001</v>
      </c>
      <c r="P314" s="8">
        <f t="shared" si="391"/>
        <v>9999</v>
      </c>
      <c r="Q314" s="8">
        <f t="shared" si="392"/>
        <v>9999</v>
      </c>
      <c r="R314" s="8">
        <f t="shared" si="393"/>
        <v>9999</v>
      </c>
      <c r="S314" s="8">
        <f t="shared" si="394"/>
        <v>9999</v>
      </c>
      <c r="T314" s="8">
        <f t="shared" si="395"/>
        <v>9999</v>
      </c>
      <c r="U314" s="8">
        <f t="shared" si="396"/>
        <v>9999</v>
      </c>
      <c r="V314" s="8">
        <f t="shared" si="398"/>
        <v>9999</v>
      </c>
      <c r="W314" s="8">
        <f t="shared" si="399"/>
        <v>9999</v>
      </c>
    </row>
    <row r="315" spans="1:23" x14ac:dyDescent="0.2">
      <c r="A315" s="7">
        <v>100088</v>
      </c>
      <c r="B315" s="7"/>
      <c r="C315" s="8">
        <f>[307]Sheet2!$J$5</f>
        <v>8.1440000000000001</v>
      </c>
      <c r="D315" s="8">
        <f>[307]Sheet2!$J$4</f>
        <v>-63.494</v>
      </c>
      <c r="E315" s="7">
        <f>[307]Sheet2!$D$8</f>
        <v>17250.624828915479</v>
      </c>
      <c r="F315" s="7" t="str">
        <f>[307]Sheet2!$G$4</f>
        <v>Orinoco</v>
      </c>
      <c r="G315" s="7" t="str">
        <f>[307]Sheet2!$G$5</f>
        <v>Venezuela</v>
      </c>
      <c r="H315" s="7" t="str">
        <f>[307]Sheet2!$H$8</f>
        <v>2</v>
      </c>
      <c r="I315" s="7">
        <f t="shared" si="400"/>
        <v>2</v>
      </c>
      <c r="J315" s="15" t="e">
        <f>[307]Sheet2!$H$9</f>
        <v>#N/A</v>
      </c>
      <c r="K315" s="19">
        <f>[307]Sheet2!$D$9</f>
        <v>13.161169081189779</v>
      </c>
      <c r="L315" s="9">
        <f>[307]Sheet2!$D$7</f>
        <v>43922</v>
      </c>
      <c r="N315" s="8">
        <f t="shared" si="389"/>
        <v>9999</v>
      </c>
      <c r="O315" s="8">
        <f t="shared" si="390"/>
        <v>9999</v>
      </c>
      <c r="P315" s="8">
        <f t="shared" si="391"/>
        <v>-63.494</v>
      </c>
      <c r="Q315" s="8">
        <f t="shared" si="392"/>
        <v>8.1440000000000001</v>
      </c>
      <c r="R315" s="8">
        <f t="shared" si="393"/>
        <v>9999</v>
      </c>
      <c r="S315" s="8">
        <f t="shared" si="394"/>
        <v>9999</v>
      </c>
      <c r="T315" s="8">
        <f t="shared" si="395"/>
        <v>9999</v>
      </c>
      <c r="U315" s="8">
        <f t="shared" si="396"/>
        <v>9999</v>
      </c>
      <c r="V315" s="8">
        <f t="shared" si="398"/>
        <v>9999</v>
      </c>
      <c r="W315" s="8">
        <f t="shared" si="399"/>
        <v>9999</v>
      </c>
    </row>
    <row r="316" spans="1:23" x14ac:dyDescent="0.2">
      <c r="A316" s="7">
        <v>100117</v>
      </c>
      <c r="B316" s="7"/>
      <c r="C316" s="8">
        <f>[308]Sheet2!$J$5</f>
        <v>-17.325000000000003</v>
      </c>
      <c r="D316" s="8">
        <f>[308]Sheet2!$J$4</f>
        <v>-68.623999999999995</v>
      </c>
      <c r="E316" s="7">
        <f>[308]Sheet2!$D$8</f>
        <v>0</v>
      </c>
      <c r="F316" s="7" t="str">
        <f>[308]Sheet2!$G$4</f>
        <v>Desaguadero</v>
      </c>
      <c r="G316" s="7" t="str">
        <f>[308]Sheet2!$G$5</f>
        <v>Bolivia</v>
      </c>
      <c r="H316" s="7" t="str">
        <f>[308]Sheet2!$H$8</f>
        <v>2</v>
      </c>
      <c r="I316" s="7">
        <f t="shared" ref="I316" si="401">VALUE(H316)</f>
        <v>2</v>
      </c>
      <c r="J316" s="15" t="e">
        <f>[308]Sheet2!$H$9</f>
        <v>#N/A</v>
      </c>
      <c r="K316" s="19">
        <f>[308]Sheet2!$D$9</f>
        <v>0.38856657660491561</v>
      </c>
      <c r="L316" s="9">
        <f>[308]Sheet2!$D$7</f>
        <v>43923</v>
      </c>
      <c r="N316" s="8">
        <f t="shared" ref="N316:N327" si="402">IF($I316=1,$D316,9999)</f>
        <v>9999</v>
      </c>
      <c r="O316" s="8">
        <f t="shared" ref="O316:O327" si="403">IF($I316=1,$C316,9999)</f>
        <v>9999</v>
      </c>
      <c r="P316" s="8">
        <f t="shared" ref="P316:P327" si="404">IF($I316=2,$D316,9999)</f>
        <v>-68.623999999999995</v>
      </c>
      <c r="Q316" s="8">
        <f t="shared" ref="Q316:Q327" si="405">IF($I316=2,$C316,9999)</f>
        <v>-17.325000000000003</v>
      </c>
      <c r="R316" s="8">
        <f t="shared" ref="R316:R327" si="406">IF($I316=3,$D316,9999)</f>
        <v>9999</v>
      </c>
      <c r="S316" s="8">
        <f t="shared" ref="S316:S327" si="407">IF($I316=3,$C316,9999)</f>
        <v>9999</v>
      </c>
      <c r="T316" s="8">
        <f t="shared" ref="T316:T327" si="408">IF($I316=4,$D316,9999)</f>
        <v>9999</v>
      </c>
      <c r="U316" s="8">
        <f t="shared" ref="U316:U327" si="409">IF($I316=4,$C316,9999)</f>
        <v>9999</v>
      </c>
      <c r="V316" s="8">
        <f t="shared" si="398"/>
        <v>9999</v>
      </c>
      <c r="W316" s="8">
        <f t="shared" si="399"/>
        <v>9999</v>
      </c>
    </row>
    <row r="317" spans="1:23" x14ac:dyDescent="0.2">
      <c r="A317" s="7">
        <v>100118</v>
      </c>
      <c r="B317" s="7"/>
      <c r="C317" s="8">
        <f>[309]Sheet2!$J$5</f>
        <v>-15.345000000000001</v>
      </c>
      <c r="D317" s="8">
        <f>[309]Sheet2!$J$4</f>
        <v>-64.843999999999994</v>
      </c>
      <c r="E317" s="7">
        <f>[309]Sheet2!$D$8</f>
        <v>4059.6712634464898</v>
      </c>
      <c r="F317" s="7" t="str">
        <f>[309]Sheet2!$G$4</f>
        <v>Mamore</v>
      </c>
      <c r="G317" s="7" t="str">
        <f>[309]Sheet2!$G$5</f>
        <v>Bolivia</v>
      </c>
      <c r="H317" s="7" t="str">
        <f>[309]Sheet2!$H$8</f>
        <v>2</v>
      </c>
      <c r="I317" s="7">
        <f t="shared" ref="I317" si="410">VALUE(H317)</f>
        <v>2</v>
      </c>
      <c r="J317" s="15" t="e">
        <f>[309]Sheet2!$H$9</f>
        <v>#N/A</v>
      </c>
      <c r="K317" s="19">
        <f>[309]Sheet2!$D$9</f>
        <v>9.7711441180023098</v>
      </c>
      <c r="L317" s="9">
        <f>[309]Sheet2!$D$7</f>
        <v>43922</v>
      </c>
      <c r="N317" s="8">
        <f t="shared" si="402"/>
        <v>9999</v>
      </c>
      <c r="O317" s="8">
        <f t="shared" si="403"/>
        <v>9999</v>
      </c>
      <c r="P317" s="8">
        <f t="shared" si="404"/>
        <v>-64.843999999999994</v>
      </c>
      <c r="Q317" s="8">
        <f t="shared" si="405"/>
        <v>-15.345000000000001</v>
      </c>
      <c r="R317" s="8">
        <f t="shared" si="406"/>
        <v>9999</v>
      </c>
      <c r="S317" s="8">
        <f t="shared" si="407"/>
        <v>9999</v>
      </c>
      <c r="T317" s="8">
        <f t="shared" si="408"/>
        <v>9999</v>
      </c>
      <c r="U317" s="8">
        <f t="shared" si="409"/>
        <v>9999</v>
      </c>
      <c r="V317" s="8">
        <f t="shared" si="398"/>
        <v>9999</v>
      </c>
      <c r="W317" s="8">
        <f t="shared" si="399"/>
        <v>9999</v>
      </c>
    </row>
    <row r="318" spans="1:23" x14ac:dyDescent="0.2">
      <c r="A318" s="7">
        <v>100122</v>
      </c>
      <c r="B318" s="7"/>
      <c r="C318" s="8">
        <f>[310]Sheet2!$J$5</f>
        <v>-12.824999999999999</v>
      </c>
      <c r="D318" s="8">
        <f>[310]Sheet2!$J$4</f>
        <v>-65.024000000000001</v>
      </c>
      <c r="E318" s="7">
        <f>[310]Sheet2!$D$8</f>
        <v>4617.7624881908487</v>
      </c>
      <c r="F318" s="7" t="str">
        <f>[310]Sheet2!$G$4</f>
        <v>Mamore</v>
      </c>
      <c r="G318" s="7" t="str">
        <f>[310]Sheet2!$G$5</f>
        <v>Bolivia</v>
      </c>
      <c r="H318" s="7" t="str">
        <f>[310]Sheet2!$H$8</f>
        <v>2</v>
      </c>
      <c r="I318" s="7">
        <f t="shared" ref="I318" si="411">VALUE(H318)</f>
        <v>2</v>
      </c>
      <c r="J318" s="15" t="e">
        <f>[310]Sheet2!$H$9</f>
        <v>#N/A</v>
      </c>
      <c r="K318" s="19">
        <f>[310]Sheet2!$D$9</f>
        <v>8.7980342181418383</v>
      </c>
      <c r="L318" s="9">
        <f>[310]Sheet2!$D$7</f>
        <v>43922</v>
      </c>
      <c r="N318" s="8">
        <f t="shared" si="402"/>
        <v>9999</v>
      </c>
      <c r="O318" s="8">
        <f t="shared" si="403"/>
        <v>9999</v>
      </c>
      <c r="P318" s="8">
        <f t="shared" si="404"/>
        <v>-65.024000000000001</v>
      </c>
      <c r="Q318" s="8">
        <f t="shared" si="405"/>
        <v>-12.824999999999999</v>
      </c>
      <c r="R318" s="8">
        <f t="shared" si="406"/>
        <v>9999</v>
      </c>
      <c r="S318" s="8">
        <f t="shared" si="407"/>
        <v>9999</v>
      </c>
      <c r="T318" s="8">
        <f t="shared" si="408"/>
        <v>9999</v>
      </c>
      <c r="U318" s="8">
        <f t="shared" si="409"/>
        <v>9999</v>
      </c>
      <c r="V318" s="8">
        <f t="shared" si="398"/>
        <v>9999</v>
      </c>
      <c r="W318" s="8">
        <f t="shared" si="399"/>
        <v>9999</v>
      </c>
    </row>
    <row r="319" spans="1:23" x14ac:dyDescent="0.2">
      <c r="A319" s="7">
        <v>100124</v>
      </c>
      <c r="B319" s="7"/>
      <c r="C319" s="8">
        <f>[311]Sheet2!$J$5</f>
        <v>-11.025</v>
      </c>
      <c r="D319" s="8">
        <f>[311]Sheet2!$J$4</f>
        <v>-66.103999999999999</v>
      </c>
      <c r="E319" s="7">
        <f>[311]Sheet2!$D$8</f>
        <v>2720.674217290978</v>
      </c>
      <c r="F319" s="7" t="str">
        <f>[311]Sheet2!$G$4</f>
        <v>Beni</v>
      </c>
      <c r="G319" s="7" t="str">
        <f>[311]Sheet2!$G$5</f>
        <v>Bolivia</v>
      </c>
      <c r="H319" s="7" t="str">
        <f>[311]Sheet2!$H$8</f>
        <v>2</v>
      </c>
      <c r="I319" s="7">
        <f t="shared" ref="I319" si="412">VALUE(H319)</f>
        <v>2</v>
      </c>
      <c r="J319" s="15" t="e">
        <f>[311]Sheet2!$H$9</f>
        <v>#N/A</v>
      </c>
      <c r="K319" s="19">
        <f>[311]Sheet2!$D$9</f>
        <v>13.406504884516819</v>
      </c>
      <c r="L319" s="9">
        <f>[311]Sheet2!$D$7</f>
        <v>43921</v>
      </c>
      <c r="N319" s="8">
        <f t="shared" si="402"/>
        <v>9999</v>
      </c>
      <c r="O319" s="8">
        <f t="shared" si="403"/>
        <v>9999</v>
      </c>
      <c r="P319" s="8">
        <f t="shared" si="404"/>
        <v>-66.103999999999999</v>
      </c>
      <c r="Q319" s="8">
        <f t="shared" si="405"/>
        <v>-11.025</v>
      </c>
      <c r="R319" s="8">
        <f t="shared" si="406"/>
        <v>9999</v>
      </c>
      <c r="S319" s="8">
        <f t="shared" si="407"/>
        <v>9999</v>
      </c>
      <c r="T319" s="8">
        <f t="shared" si="408"/>
        <v>9999</v>
      </c>
      <c r="U319" s="8">
        <f t="shared" si="409"/>
        <v>9999</v>
      </c>
      <c r="V319" s="8">
        <f t="shared" si="398"/>
        <v>9999</v>
      </c>
      <c r="W319" s="8">
        <f t="shared" si="399"/>
        <v>9999</v>
      </c>
    </row>
    <row r="320" spans="1:23" x14ac:dyDescent="0.2">
      <c r="A320" s="7">
        <v>100125</v>
      </c>
      <c r="B320" s="7"/>
      <c r="C320" s="8">
        <f>[312]Sheet2!$J$5</f>
        <v>-14.445</v>
      </c>
      <c r="D320" s="8">
        <f>[312]Sheet2!$J$4</f>
        <v>-67.543999999999997</v>
      </c>
      <c r="E320" s="7">
        <f>[312]Sheet2!$D$8</f>
        <v>712.91024023410068</v>
      </c>
      <c r="F320" s="7" t="str">
        <f>[312]Sheet2!$G$4</f>
        <v>Beni</v>
      </c>
      <c r="G320" s="7" t="str">
        <f>[312]Sheet2!$G$5</f>
        <v>Bolivia</v>
      </c>
      <c r="H320" s="7" t="str">
        <f>[312]Sheet2!$H$8</f>
        <v>1</v>
      </c>
      <c r="I320" s="7">
        <f t="shared" ref="I320" si="413">VALUE(H320)</f>
        <v>1</v>
      </c>
      <c r="J320" s="15" t="e">
        <f>[312]Sheet2!$H$9</f>
        <v>#N/A</v>
      </c>
      <c r="K320" s="19">
        <f>[312]Sheet2!$D$9</f>
        <v>7.934749557124146</v>
      </c>
      <c r="L320" s="9">
        <f>[312]Sheet2!$D$7</f>
        <v>43923</v>
      </c>
      <c r="N320" s="8">
        <f t="shared" si="402"/>
        <v>-67.543999999999997</v>
      </c>
      <c r="O320" s="8">
        <f t="shared" si="403"/>
        <v>-14.445</v>
      </c>
      <c r="P320" s="8">
        <f t="shared" si="404"/>
        <v>9999</v>
      </c>
      <c r="Q320" s="8">
        <f t="shared" si="405"/>
        <v>9999</v>
      </c>
      <c r="R320" s="8">
        <f t="shared" si="406"/>
        <v>9999</v>
      </c>
      <c r="S320" s="8">
        <f t="shared" si="407"/>
        <v>9999</v>
      </c>
      <c r="T320" s="8">
        <f t="shared" si="408"/>
        <v>9999</v>
      </c>
      <c r="U320" s="8">
        <f t="shared" si="409"/>
        <v>9999</v>
      </c>
      <c r="V320" s="8">
        <f t="shared" si="398"/>
        <v>9999</v>
      </c>
      <c r="W320" s="8">
        <f t="shared" si="399"/>
        <v>9999</v>
      </c>
    </row>
    <row r="321" spans="1:23" x14ac:dyDescent="0.2">
      <c r="A321" s="7">
        <v>100127</v>
      </c>
      <c r="B321" s="7"/>
      <c r="C321" s="8">
        <f>[313]Sheet2!$J$5</f>
        <v>-17.505000000000003</v>
      </c>
      <c r="D321" s="8">
        <f>[313]Sheet2!$J$4</f>
        <v>-68.533999999999992</v>
      </c>
      <c r="E321" s="7">
        <f>[313]Sheet2!$D$8</f>
        <v>11.026797472991632</v>
      </c>
      <c r="F321" s="7" t="str">
        <f>[313]Sheet2!$G$4</f>
        <v>Desaguadero</v>
      </c>
      <c r="G321" s="7" t="str">
        <f>[313]Sheet2!$G$5</f>
        <v>Bolivia</v>
      </c>
      <c r="H321" s="7" t="str">
        <f>[313]Sheet2!$H$8</f>
        <v>2</v>
      </c>
      <c r="I321" s="7">
        <f t="shared" ref="I321" si="414">VALUE(H321)</f>
        <v>2</v>
      </c>
      <c r="J321" s="15" t="e">
        <f>[313]Sheet2!$H$9</f>
        <v>#N/A</v>
      </c>
      <c r="K321" s="19">
        <f>[313]Sheet2!$D$9</f>
        <v>1.3458822951694744</v>
      </c>
      <c r="L321" s="9">
        <f>[313]Sheet2!$D$7</f>
        <v>43923</v>
      </c>
      <c r="N321" s="8">
        <f t="shared" si="402"/>
        <v>9999</v>
      </c>
      <c r="O321" s="8">
        <f t="shared" si="403"/>
        <v>9999</v>
      </c>
      <c r="P321" s="8">
        <f t="shared" si="404"/>
        <v>-68.533999999999992</v>
      </c>
      <c r="Q321" s="8">
        <f t="shared" si="405"/>
        <v>-17.505000000000003</v>
      </c>
      <c r="R321" s="8">
        <f t="shared" si="406"/>
        <v>9999</v>
      </c>
      <c r="S321" s="8">
        <f t="shared" si="407"/>
        <v>9999</v>
      </c>
      <c r="T321" s="8">
        <f t="shared" si="408"/>
        <v>9999</v>
      </c>
      <c r="U321" s="8">
        <f t="shared" si="409"/>
        <v>9999</v>
      </c>
      <c r="V321" s="8">
        <f t="shared" si="398"/>
        <v>9999</v>
      </c>
      <c r="W321" s="8">
        <f t="shared" si="399"/>
        <v>9999</v>
      </c>
    </row>
    <row r="322" spans="1:23" x14ac:dyDescent="0.2">
      <c r="A322" s="7">
        <v>100128</v>
      </c>
      <c r="B322" s="7"/>
      <c r="C322" s="8">
        <f>[314]Sheet2!$J$5</f>
        <v>-21.284999999999997</v>
      </c>
      <c r="D322" s="8">
        <f>[314]Sheet2!$J$4</f>
        <v>-63.494</v>
      </c>
      <c r="E322" s="7">
        <f>[314]Sheet2!$D$8</f>
        <v>415.13592278007172</v>
      </c>
      <c r="F322" s="7" t="str">
        <f>[314]Sheet2!$G$4</f>
        <v>Pilcomayo</v>
      </c>
      <c r="G322" s="7" t="str">
        <f>[314]Sheet2!$G$5</f>
        <v>Bolivia</v>
      </c>
      <c r="H322" s="7" t="str">
        <f>[314]Sheet2!$H$8</f>
        <v>2</v>
      </c>
      <c r="I322" s="7">
        <f t="shared" ref="I322" si="415">VALUE(H322)</f>
        <v>2</v>
      </c>
      <c r="J322" s="15" t="e">
        <f>[314]Sheet2!$H$9</f>
        <v>#N/A</v>
      </c>
      <c r="K322" s="19">
        <f>[314]Sheet2!$D$9</f>
        <v>2.489528757623924</v>
      </c>
      <c r="L322" s="9">
        <f>[314]Sheet2!$D$7</f>
        <v>43923</v>
      </c>
      <c r="N322" s="8">
        <f t="shared" si="402"/>
        <v>9999</v>
      </c>
      <c r="O322" s="8">
        <f t="shared" si="403"/>
        <v>9999</v>
      </c>
      <c r="P322" s="8">
        <f t="shared" si="404"/>
        <v>-63.494</v>
      </c>
      <c r="Q322" s="8">
        <f t="shared" si="405"/>
        <v>-21.284999999999997</v>
      </c>
      <c r="R322" s="8">
        <f t="shared" si="406"/>
        <v>9999</v>
      </c>
      <c r="S322" s="8">
        <f t="shared" si="407"/>
        <v>9999</v>
      </c>
      <c r="T322" s="8">
        <f t="shared" si="408"/>
        <v>9999</v>
      </c>
      <c r="U322" s="8">
        <f t="shared" si="409"/>
        <v>9999</v>
      </c>
      <c r="V322" s="8">
        <f t="shared" ref="V322:V334" si="416">IF($I322=0,$D322,9999)</f>
        <v>9999</v>
      </c>
      <c r="W322" s="8">
        <f t="shared" ref="W322:W334" si="417">IF($I322=0,$C322,9999)</f>
        <v>9999</v>
      </c>
    </row>
    <row r="323" spans="1:23" x14ac:dyDescent="0.2">
      <c r="A323" s="7">
        <v>100129</v>
      </c>
      <c r="B323" s="7"/>
      <c r="C323" s="8">
        <f>[315]Sheet2!$J$5</f>
        <v>7.8739999999999997</v>
      </c>
      <c r="D323" s="8">
        <f>[315]Sheet2!$J$4</f>
        <v>-67.454000000000008</v>
      </c>
      <c r="E323" s="7">
        <f>[315]Sheet2!$D$8</f>
        <v>1049.3916120752988</v>
      </c>
      <c r="F323" s="7" t="str">
        <f>[315]Sheet2!$G$4</f>
        <v>Apure</v>
      </c>
      <c r="G323" s="7" t="str">
        <f>[315]Sheet2!$G$5</f>
        <v>Venezuela</v>
      </c>
      <c r="H323" s="7" t="str">
        <f>[315]Sheet2!$H$8</f>
        <v>2</v>
      </c>
      <c r="I323" s="7">
        <f t="shared" ref="I323" si="418">VALUE(H323)</f>
        <v>2</v>
      </c>
      <c r="J323" s="15" t="e">
        <f>[315]Sheet2!$H$9</f>
        <v>#N/A</v>
      </c>
      <c r="K323" s="19">
        <f>[315]Sheet2!$D$9</f>
        <v>7.3685649054663926</v>
      </c>
      <c r="L323" s="9">
        <f>[315]Sheet2!$D$7</f>
        <v>43923</v>
      </c>
      <c r="N323" s="8">
        <f t="shared" si="402"/>
        <v>9999</v>
      </c>
      <c r="O323" s="8">
        <f t="shared" si="403"/>
        <v>9999</v>
      </c>
      <c r="P323" s="8">
        <f t="shared" si="404"/>
        <v>-67.454000000000008</v>
      </c>
      <c r="Q323" s="8">
        <f t="shared" si="405"/>
        <v>7.8739999999999997</v>
      </c>
      <c r="R323" s="8">
        <f t="shared" si="406"/>
        <v>9999</v>
      </c>
      <c r="S323" s="8">
        <f t="shared" si="407"/>
        <v>9999</v>
      </c>
      <c r="T323" s="8">
        <f t="shared" si="408"/>
        <v>9999</v>
      </c>
      <c r="U323" s="8">
        <f t="shared" si="409"/>
        <v>9999</v>
      </c>
      <c r="V323" s="8">
        <f t="shared" si="416"/>
        <v>9999</v>
      </c>
      <c r="W323" s="8">
        <f t="shared" si="417"/>
        <v>9999</v>
      </c>
    </row>
    <row r="324" spans="1:23" x14ac:dyDescent="0.2">
      <c r="A324" s="7">
        <v>100136</v>
      </c>
      <c r="B324" s="7"/>
      <c r="C324" s="8">
        <f>[316]Sheet2!$J$5</f>
        <v>-10.935</v>
      </c>
      <c r="D324" s="8">
        <f>[316]Sheet2!$J$4</f>
        <v>-69.793999999999997</v>
      </c>
      <c r="E324" s="7">
        <f>[316]Sheet2!$D$8</f>
        <v>53.557718286812445</v>
      </c>
      <c r="F324" s="7" t="str">
        <f>[316]Sheet2!$G$4</f>
        <v>Rio Acre</v>
      </c>
      <c r="G324" s="7" t="str">
        <f>[316]Sheet2!$G$5</f>
        <v>Brazil</v>
      </c>
      <c r="H324" s="7" t="str">
        <f>[316]Sheet2!$H$8</f>
        <v>2</v>
      </c>
      <c r="I324" s="7">
        <f t="shared" ref="I324" si="419">VALUE(H324)</f>
        <v>2</v>
      </c>
      <c r="J324" s="15" t="e">
        <f>[316]Sheet2!$H$9</f>
        <v>#N/A</v>
      </c>
      <c r="K324" s="19">
        <f>[316]Sheet2!$D$9</f>
        <v>12.999926436443371</v>
      </c>
      <c r="L324" s="9">
        <f>[316]Sheet2!$D$7</f>
        <v>43923</v>
      </c>
      <c r="N324" s="8">
        <f t="shared" si="402"/>
        <v>9999</v>
      </c>
      <c r="O324" s="8">
        <f t="shared" si="403"/>
        <v>9999</v>
      </c>
      <c r="P324" s="8">
        <f t="shared" si="404"/>
        <v>-69.793999999999997</v>
      </c>
      <c r="Q324" s="8">
        <f t="shared" si="405"/>
        <v>-10.935</v>
      </c>
      <c r="R324" s="8">
        <f t="shared" si="406"/>
        <v>9999</v>
      </c>
      <c r="S324" s="8">
        <f t="shared" si="407"/>
        <v>9999</v>
      </c>
      <c r="T324" s="8">
        <f t="shared" si="408"/>
        <v>9999</v>
      </c>
      <c r="U324" s="8">
        <f t="shared" si="409"/>
        <v>9999</v>
      </c>
      <c r="V324" s="8">
        <f t="shared" si="416"/>
        <v>9999</v>
      </c>
      <c r="W324" s="8">
        <f t="shared" si="417"/>
        <v>9999</v>
      </c>
    </row>
    <row r="325" spans="1:23" x14ac:dyDescent="0.2">
      <c r="A325" s="7">
        <v>100138</v>
      </c>
      <c r="B325" s="7"/>
      <c r="C325" s="8">
        <f>[317]Sheet2!$J$5</f>
        <v>-16.155000000000001</v>
      </c>
      <c r="D325" s="8">
        <f>[317]Sheet2!$J$4</f>
        <v>-64.213999999999999</v>
      </c>
      <c r="E325" s="7">
        <f>[317]Sheet2!$D$8</f>
        <v>1430.0244448840349</v>
      </c>
      <c r="F325" s="7">
        <f>[317]Sheet2!$G$4</f>
        <v>0</v>
      </c>
      <c r="G325" s="7" t="str">
        <f>[317]Sheet2!$G$5</f>
        <v>Bolivia</v>
      </c>
      <c r="H325" s="7" t="str">
        <f>[317]Sheet2!$H$8</f>
        <v>1</v>
      </c>
      <c r="I325" s="7">
        <f t="shared" ref="I325" si="420">VALUE(H325)</f>
        <v>1</v>
      </c>
      <c r="J325" s="15" t="e">
        <f>[317]Sheet2!$H$9</f>
        <v>#N/A</v>
      </c>
      <c r="K325" s="19">
        <f>[317]Sheet2!$D$9</f>
        <v>294.53960692671637</v>
      </c>
      <c r="L325" s="9">
        <f>[317]Sheet2!$D$7</f>
        <v>43922</v>
      </c>
      <c r="N325" s="8">
        <f t="shared" si="402"/>
        <v>-64.213999999999999</v>
      </c>
      <c r="O325" s="8">
        <f t="shared" si="403"/>
        <v>-16.155000000000001</v>
      </c>
      <c r="P325" s="8">
        <f t="shared" si="404"/>
        <v>9999</v>
      </c>
      <c r="Q325" s="8">
        <f t="shared" si="405"/>
        <v>9999</v>
      </c>
      <c r="R325" s="8">
        <f t="shared" si="406"/>
        <v>9999</v>
      </c>
      <c r="S325" s="8">
        <f t="shared" si="407"/>
        <v>9999</v>
      </c>
      <c r="T325" s="8">
        <f t="shared" si="408"/>
        <v>9999</v>
      </c>
      <c r="U325" s="8">
        <f t="shared" si="409"/>
        <v>9999</v>
      </c>
      <c r="V325" s="8">
        <f t="shared" si="416"/>
        <v>9999</v>
      </c>
      <c r="W325" s="8">
        <f t="shared" si="417"/>
        <v>9999</v>
      </c>
    </row>
    <row r="326" spans="1:23" x14ac:dyDescent="0.2">
      <c r="A326" s="7">
        <v>100140</v>
      </c>
      <c r="B326" s="7"/>
      <c r="C326" s="8">
        <f>[318]Sheet2!$J$5</f>
        <v>-15.795</v>
      </c>
      <c r="D326" s="8">
        <f>[318]Sheet2!$J$4</f>
        <v>-64.754000000000005</v>
      </c>
      <c r="E326" s="7">
        <f>[318]Sheet2!$D$8</f>
        <v>4731.1288054360912</v>
      </c>
      <c r="F326" s="7" t="str">
        <f>[318]Sheet2!$G$4</f>
        <v>Mamore</v>
      </c>
      <c r="G326" s="7" t="str">
        <f>[318]Sheet2!$G$5</f>
        <v>Bolivia</v>
      </c>
      <c r="H326" s="7" t="str">
        <f>[318]Sheet2!$H$8</f>
        <v>2</v>
      </c>
      <c r="I326" s="7">
        <f t="shared" ref="I326" si="421">VALUE(H326)</f>
        <v>2</v>
      </c>
      <c r="J326" s="15" t="e">
        <f>[318]Sheet2!$H$9</f>
        <v>#N/A</v>
      </c>
      <c r="K326" s="19">
        <f>[318]Sheet2!$D$9</f>
        <v>13.579084893014132</v>
      </c>
      <c r="L326" s="9">
        <f>[318]Sheet2!$D$7</f>
        <v>43921</v>
      </c>
      <c r="N326" s="8">
        <f t="shared" si="402"/>
        <v>9999</v>
      </c>
      <c r="O326" s="8">
        <f t="shared" si="403"/>
        <v>9999</v>
      </c>
      <c r="P326" s="8">
        <f t="shared" si="404"/>
        <v>-64.754000000000005</v>
      </c>
      <c r="Q326" s="8">
        <f t="shared" si="405"/>
        <v>-15.795</v>
      </c>
      <c r="R326" s="8">
        <f t="shared" si="406"/>
        <v>9999</v>
      </c>
      <c r="S326" s="8">
        <f t="shared" si="407"/>
        <v>9999</v>
      </c>
      <c r="T326" s="8">
        <f t="shared" si="408"/>
        <v>9999</v>
      </c>
      <c r="U326" s="8">
        <f t="shared" si="409"/>
        <v>9999</v>
      </c>
      <c r="V326" s="8">
        <f t="shared" si="416"/>
        <v>9999</v>
      </c>
      <c r="W326" s="8">
        <f t="shared" si="417"/>
        <v>9999</v>
      </c>
    </row>
    <row r="327" spans="1:23" x14ac:dyDescent="0.2">
      <c r="A327" s="7">
        <v>100158</v>
      </c>
      <c r="B327" s="7"/>
      <c r="C327" s="8">
        <f>[319]Sheet2!$J$5</f>
        <v>65.474000000000004</v>
      </c>
      <c r="D327" s="8">
        <f>[319]Sheet2!$J$4</f>
        <v>52.155000000000001</v>
      </c>
      <c r="E327" s="7">
        <f>[319]Sheet2!$D$8</f>
        <v>2336.6294266172363</v>
      </c>
      <c r="F327" s="7" t="str">
        <f>[319]Sheet2!$G$4</f>
        <v>Pechora</v>
      </c>
      <c r="G327" s="7" t="str">
        <f>[319]Sheet2!$G$5</f>
        <v>Russia</v>
      </c>
      <c r="H327" s="7" t="str">
        <f>[319]Sheet2!$H$8</f>
        <v>2</v>
      </c>
      <c r="I327" s="7">
        <f t="shared" ref="I327" si="422">VALUE(H327)</f>
        <v>2</v>
      </c>
      <c r="J327" s="15" t="e">
        <f>[319]Sheet2!$H$9</f>
        <v>#N/A</v>
      </c>
      <c r="K327" s="19">
        <f>[319]Sheet2!$D$9</f>
        <v>5.8419244939586772</v>
      </c>
      <c r="L327" s="9">
        <f>[319]Sheet2!$D$7</f>
        <v>43923</v>
      </c>
      <c r="N327" s="8">
        <f t="shared" si="402"/>
        <v>9999</v>
      </c>
      <c r="O327" s="8">
        <f t="shared" si="403"/>
        <v>9999</v>
      </c>
      <c r="P327" s="8">
        <f t="shared" si="404"/>
        <v>52.155000000000001</v>
      </c>
      <c r="Q327" s="8">
        <f t="shared" si="405"/>
        <v>65.474000000000004</v>
      </c>
      <c r="R327" s="8">
        <f t="shared" si="406"/>
        <v>9999</v>
      </c>
      <c r="S327" s="8">
        <f t="shared" si="407"/>
        <v>9999</v>
      </c>
      <c r="T327" s="8">
        <f t="shared" si="408"/>
        <v>9999</v>
      </c>
      <c r="U327" s="8">
        <f t="shared" si="409"/>
        <v>9999</v>
      </c>
      <c r="V327" s="8">
        <f t="shared" si="416"/>
        <v>9999</v>
      </c>
      <c r="W327" s="8">
        <f t="shared" si="417"/>
        <v>9999</v>
      </c>
    </row>
    <row r="328" spans="1:23" x14ac:dyDescent="0.2">
      <c r="A328" s="7">
        <v>100176</v>
      </c>
      <c r="B328" s="7"/>
      <c r="C328" s="8">
        <f>[320]Sheet2!$J$5</f>
        <v>31.363999999999997</v>
      </c>
      <c r="D328" s="8">
        <f>[320]Sheet2!$J$4</f>
        <v>-92.563999999999993</v>
      </c>
      <c r="E328" s="7">
        <f>[320]Sheet2!$D$8</f>
        <v>1294.2803316396225</v>
      </c>
      <c r="F328" s="7" t="str">
        <f>[320]Sheet2!$G$4</f>
        <v>Red River</v>
      </c>
      <c r="G328" s="7" t="str">
        <f>[320]Sheet2!$G$5</f>
        <v>USA</v>
      </c>
      <c r="H328" s="7" t="str">
        <f>[320]Sheet2!$H$8</f>
        <v>2</v>
      </c>
      <c r="I328" s="7">
        <f>VALUE(H328)</f>
        <v>2</v>
      </c>
      <c r="J328" s="15" t="e">
        <f>[320]Sheet2!$H$9</f>
        <v>#N/A</v>
      </c>
      <c r="K328" s="19">
        <f>[320]Sheet2!$D$9</f>
        <v>4.9822922076882659</v>
      </c>
      <c r="L328" s="9">
        <f>[320]Sheet2!$D$7</f>
        <v>43923</v>
      </c>
      <c r="N328" s="8">
        <f t="shared" ref="N328:N346" si="423">IF($I328=1,$D328,9999)</f>
        <v>9999</v>
      </c>
      <c r="O328" s="8">
        <f t="shared" ref="O328:O346" si="424">IF($I328=1,$C328,9999)</f>
        <v>9999</v>
      </c>
      <c r="P328" s="8">
        <f t="shared" ref="P328:P346" si="425">IF($I328=2,$D328,9999)</f>
        <v>-92.563999999999993</v>
      </c>
      <c r="Q328" s="8">
        <f t="shared" ref="Q328:Q346" si="426">IF($I328=2,$C328,9999)</f>
        <v>31.363999999999997</v>
      </c>
      <c r="R328" s="8">
        <f t="shared" ref="R328:R346" si="427">IF($I328=3,$D328,9999)</f>
        <v>9999</v>
      </c>
      <c r="S328" s="8">
        <f t="shared" ref="S328:S346" si="428">IF($I328=3,$C328,9999)</f>
        <v>9999</v>
      </c>
      <c r="T328" s="8">
        <f t="shared" ref="T328:T346" si="429">IF($I328=4,$D328,9999)</f>
        <v>9999</v>
      </c>
      <c r="U328" s="8">
        <f t="shared" ref="U328:U346" si="430">IF($I328=4,$C328,9999)</f>
        <v>9999</v>
      </c>
      <c r="V328" s="8">
        <f t="shared" si="416"/>
        <v>9999</v>
      </c>
      <c r="W328" s="8">
        <f t="shared" si="417"/>
        <v>9999</v>
      </c>
    </row>
    <row r="329" spans="1:23" x14ac:dyDescent="0.2">
      <c r="A329" s="7">
        <v>100183</v>
      </c>
      <c r="B329" s="7"/>
      <c r="C329" s="8">
        <f>[321]Sheet2!$J$5</f>
        <v>10.214</v>
      </c>
      <c r="D329" s="8">
        <f>[321]Sheet2!$J$4</f>
        <v>-74.924000000000007</v>
      </c>
      <c r="E329" s="7">
        <f>[321]Sheet2!$D$8</f>
        <v>4615.3224900245359</v>
      </c>
      <c r="F329" s="7">
        <f>[321]Sheet2!$G$4</f>
        <v>0</v>
      </c>
      <c r="G329" s="7" t="str">
        <f>[321]Sheet2!$G$5</f>
        <v>Colombia</v>
      </c>
      <c r="H329" s="7" t="str">
        <f>[321]Sheet2!$H$8</f>
        <v>2</v>
      </c>
      <c r="I329" s="7">
        <f t="shared" ref="I329:I334" si="431">VALUE(H329)</f>
        <v>2</v>
      </c>
      <c r="J329" s="15" t="e">
        <f>[321]Sheet2!$H$9</f>
        <v>#N/A</v>
      </c>
      <c r="K329" s="19">
        <f>[321]Sheet2!$D$9</f>
        <v>31.601973909299009</v>
      </c>
      <c r="L329" s="9">
        <f>[321]Sheet2!$D$7</f>
        <v>43922</v>
      </c>
      <c r="N329" s="8">
        <f t="shared" si="423"/>
        <v>9999</v>
      </c>
      <c r="O329" s="8">
        <f t="shared" si="424"/>
        <v>9999</v>
      </c>
      <c r="P329" s="8">
        <f t="shared" si="425"/>
        <v>-74.924000000000007</v>
      </c>
      <c r="Q329" s="8">
        <f t="shared" si="426"/>
        <v>10.214</v>
      </c>
      <c r="R329" s="8">
        <f t="shared" si="427"/>
        <v>9999</v>
      </c>
      <c r="S329" s="8">
        <f t="shared" si="428"/>
        <v>9999</v>
      </c>
      <c r="T329" s="8">
        <f t="shared" si="429"/>
        <v>9999</v>
      </c>
      <c r="U329" s="8">
        <f t="shared" si="430"/>
        <v>9999</v>
      </c>
      <c r="V329" s="8">
        <f t="shared" si="416"/>
        <v>9999</v>
      </c>
      <c r="W329" s="8">
        <f t="shared" si="417"/>
        <v>9999</v>
      </c>
    </row>
    <row r="330" spans="1:23" x14ac:dyDescent="0.2">
      <c r="A330" s="7">
        <v>100184</v>
      </c>
      <c r="B330" s="7"/>
      <c r="C330" s="8">
        <f>[322]Sheet2!$J$5</f>
        <v>10.034000000000001</v>
      </c>
      <c r="D330" s="8">
        <f>[322]Sheet2!$J$4</f>
        <v>-75.373999999999995</v>
      </c>
      <c r="E330" s="7">
        <f>[322]Sheet2!$D$8</f>
        <v>0.73054915474004511</v>
      </c>
      <c r="F330" s="7">
        <f>[322]Sheet2!$G$4</f>
        <v>0</v>
      </c>
      <c r="G330" s="7" t="str">
        <f>[322]Sheet2!$G$5</f>
        <v>Colombia</v>
      </c>
      <c r="H330" s="7" t="e">
        <f>[322]Sheet2!$H$9</f>
        <v>#N/A</v>
      </c>
      <c r="I330" s="7" t="e">
        <f t="shared" si="431"/>
        <v>#N/A</v>
      </c>
      <c r="J330" s="15" t="e">
        <f>[322]Sheet2!$H$9</f>
        <v>#N/A</v>
      </c>
      <c r="K330" s="19">
        <f>[322]Sheet2!$D$9</f>
        <v>5.1969303311351647</v>
      </c>
      <c r="L330" s="9">
        <f>[322]Sheet2!$D$7</f>
        <v>43922</v>
      </c>
      <c r="N330" s="8" t="e">
        <f t="shared" si="423"/>
        <v>#N/A</v>
      </c>
      <c r="O330" s="8" t="e">
        <f t="shared" si="424"/>
        <v>#N/A</v>
      </c>
      <c r="P330" s="8" t="e">
        <f t="shared" si="425"/>
        <v>#N/A</v>
      </c>
      <c r="Q330" s="8" t="e">
        <f t="shared" si="426"/>
        <v>#N/A</v>
      </c>
      <c r="R330" s="8" t="e">
        <f t="shared" si="427"/>
        <v>#N/A</v>
      </c>
      <c r="S330" s="8" t="e">
        <f t="shared" si="428"/>
        <v>#N/A</v>
      </c>
      <c r="T330" s="8" t="e">
        <f t="shared" si="429"/>
        <v>#N/A</v>
      </c>
      <c r="U330" s="8" t="e">
        <f t="shared" si="430"/>
        <v>#N/A</v>
      </c>
      <c r="V330" s="8" t="e">
        <f t="shared" si="416"/>
        <v>#N/A</v>
      </c>
      <c r="W330" s="8" t="e">
        <f t="shared" si="417"/>
        <v>#N/A</v>
      </c>
    </row>
    <row r="331" spans="1:23" x14ac:dyDescent="0.2">
      <c r="A331" s="7">
        <v>100185</v>
      </c>
      <c r="B331" s="7"/>
      <c r="C331" s="8">
        <f>[323]Sheet2!$J$5</f>
        <v>2.7439999999999998</v>
      </c>
      <c r="D331" s="8">
        <f>[323]Sheet2!$J$4</f>
        <v>-75.373999999999995</v>
      </c>
      <c r="E331" s="7">
        <f>[323]Sheet2!$D$8</f>
        <v>282.61684283479087</v>
      </c>
      <c r="F331" s="7" t="str">
        <f>[323]Sheet2!$G$4</f>
        <v>Magdalena</v>
      </c>
      <c r="G331" s="7" t="str">
        <f>[323]Sheet2!$G$5</f>
        <v>Colombia</v>
      </c>
      <c r="H331" s="7" t="str">
        <f>[323]Sheet2!$H$8</f>
        <v>1</v>
      </c>
      <c r="I331" s="7">
        <f t="shared" si="431"/>
        <v>1</v>
      </c>
      <c r="J331" s="15" t="e">
        <f>[323]Sheet2!$H$9</f>
        <v>#N/A</v>
      </c>
      <c r="K331" s="19">
        <f>[323]Sheet2!$D$9</f>
        <v>14.506322903793665</v>
      </c>
      <c r="L331" s="9">
        <f>[323]Sheet2!$D$7</f>
        <v>43923</v>
      </c>
      <c r="N331" s="8">
        <f t="shared" si="423"/>
        <v>-75.373999999999995</v>
      </c>
      <c r="O331" s="8">
        <f t="shared" si="424"/>
        <v>2.7439999999999998</v>
      </c>
      <c r="P331" s="8">
        <f t="shared" si="425"/>
        <v>9999</v>
      </c>
      <c r="Q331" s="8">
        <f t="shared" si="426"/>
        <v>9999</v>
      </c>
      <c r="R331" s="8">
        <f t="shared" si="427"/>
        <v>9999</v>
      </c>
      <c r="S331" s="8">
        <f t="shared" si="428"/>
        <v>9999</v>
      </c>
      <c r="T331" s="8">
        <f t="shared" si="429"/>
        <v>9999</v>
      </c>
      <c r="U331" s="8">
        <f t="shared" si="430"/>
        <v>9999</v>
      </c>
      <c r="V331" s="8">
        <f t="shared" si="416"/>
        <v>9999</v>
      </c>
      <c r="W331" s="8">
        <f t="shared" si="417"/>
        <v>9999</v>
      </c>
    </row>
    <row r="332" spans="1:23" x14ac:dyDescent="0.2">
      <c r="A332" s="7">
        <v>100186</v>
      </c>
      <c r="B332" s="7"/>
      <c r="C332" s="8">
        <f>[324]Sheet2!$J$5</f>
        <v>5.5339999999999998</v>
      </c>
      <c r="D332" s="8">
        <f>[324]Sheet2!$J$4</f>
        <v>-74.653999999999996</v>
      </c>
      <c r="E332" s="7">
        <f>[324]Sheet2!$D$8</f>
        <v>1680.110029743038</v>
      </c>
      <c r="F332" s="7" t="str">
        <f>[324]Sheet2!$G$4</f>
        <v>Magdalena</v>
      </c>
      <c r="G332" s="7" t="str">
        <f>[324]Sheet2!$G$5</f>
        <v>Colombia</v>
      </c>
      <c r="H332" s="7" t="str">
        <f>[324]Sheet2!$H$8</f>
        <v>2</v>
      </c>
      <c r="I332" s="7">
        <f t="shared" si="431"/>
        <v>2</v>
      </c>
      <c r="J332" s="15" t="e">
        <f>[324]Sheet2!$H$9</f>
        <v>#N/A</v>
      </c>
      <c r="K332" s="19">
        <f>[324]Sheet2!$D$9</f>
        <v>15.668611127827795</v>
      </c>
      <c r="L332" s="9">
        <f>[324]Sheet2!$D$7</f>
        <v>43923</v>
      </c>
      <c r="N332" s="8">
        <f t="shared" si="423"/>
        <v>9999</v>
      </c>
      <c r="O332" s="8">
        <f t="shared" si="424"/>
        <v>9999</v>
      </c>
      <c r="P332" s="8">
        <f t="shared" si="425"/>
        <v>-74.653999999999996</v>
      </c>
      <c r="Q332" s="8">
        <f t="shared" si="426"/>
        <v>5.5339999999999998</v>
      </c>
      <c r="R332" s="8">
        <f t="shared" si="427"/>
        <v>9999</v>
      </c>
      <c r="S332" s="8">
        <f t="shared" si="428"/>
        <v>9999</v>
      </c>
      <c r="T332" s="8">
        <f t="shared" si="429"/>
        <v>9999</v>
      </c>
      <c r="U332" s="8">
        <f t="shared" si="430"/>
        <v>9999</v>
      </c>
      <c r="V332" s="8">
        <f t="shared" si="416"/>
        <v>9999</v>
      </c>
      <c r="W332" s="8">
        <f t="shared" si="417"/>
        <v>9999</v>
      </c>
    </row>
    <row r="333" spans="1:23" x14ac:dyDescent="0.2">
      <c r="A333" s="7">
        <v>100187</v>
      </c>
      <c r="B333" s="7"/>
      <c r="C333" s="8">
        <f>[325]Sheet2!$J$5</f>
        <v>8.234</v>
      </c>
      <c r="D333" s="8">
        <f>[325]Sheet2!$J$4</f>
        <v>-73.754000000000005</v>
      </c>
      <c r="E333" s="7">
        <f>[325]Sheet2!$D$8</f>
        <v>4163.6547969888179</v>
      </c>
      <c r="F333" s="7" t="str">
        <f>[325]Sheet2!$G$4</f>
        <v>Magdalena</v>
      </c>
      <c r="G333" s="7" t="str">
        <f>[325]Sheet2!$G$5</f>
        <v>Colombia</v>
      </c>
      <c r="H333" s="7" t="str">
        <f>[325]Sheet2!$H$8</f>
        <v>2</v>
      </c>
      <c r="I333" s="7">
        <f t="shared" si="431"/>
        <v>2</v>
      </c>
      <c r="J333" s="15" t="e">
        <f>[325]Sheet2!$H$9</f>
        <v>#N/A</v>
      </c>
      <c r="K333" s="19">
        <f>[325]Sheet2!$D$9</f>
        <v>20.045039963416556</v>
      </c>
      <c r="L333" s="9">
        <f>[325]Sheet2!$D$7</f>
        <v>43922</v>
      </c>
      <c r="N333" s="8">
        <f t="shared" si="423"/>
        <v>9999</v>
      </c>
      <c r="O333" s="8">
        <f t="shared" si="424"/>
        <v>9999</v>
      </c>
      <c r="P333" s="8">
        <f t="shared" si="425"/>
        <v>-73.754000000000005</v>
      </c>
      <c r="Q333" s="8">
        <f t="shared" si="426"/>
        <v>8.234</v>
      </c>
      <c r="R333" s="8">
        <f t="shared" si="427"/>
        <v>9999</v>
      </c>
      <c r="S333" s="8">
        <f t="shared" si="428"/>
        <v>9999</v>
      </c>
      <c r="T333" s="8">
        <f t="shared" si="429"/>
        <v>9999</v>
      </c>
      <c r="U333" s="8">
        <f t="shared" si="430"/>
        <v>9999</v>
      </c>
      <c r="V333" s="8">
        <f t="shared" si="416"/>
        <v>9999</v>
      </c>
      <c r="W333" s="8">
        <f t="shared" si="417"/>
        <v>9999</v>
      </c>
    </row>
    <row r="334" spans="1:23" x14ac:dyDescent="0.2">
      <c r="A334" s="7">
        <v>100188</v>
      </c>
      <c r="B334" s="7"/>
      <c r="C334" s="8">
        <f>[326]Sheet2!$J$5</f>
        <v>5.8040000000000003</v>
      </c>
      <c r="D334" s="8">
        <f>[326]Sheet2!$J$4</f>
        <v>-75.644000000000005</v>
      </c>
      <c r="E334" s="7">
        <f>[326]Sheet2!$D$8</f>
        <v>1129.1133723410492</v>
      </c>
      <c r="F334" s="7" t="str">
        <f>[326]Sheet2!$G$4</f>
        <v>Cauca</v>
      </c>
      <c r="G334" s="7" t="str">
        <f>[326]Sheet2!$G$5</f>
        <v>Colombia</v>
      </c>
      <c r="H334" s="7" t="str">
        <f>[326]Sheet2!$H$8</f>
        <v>2</v>
      </c>
      <c r="I334" s="7">
        <f t="shared" si="431"/>
        <v>2</v>
      </c>
      <c r="J334" s="15" t="e">
        <f>[326]Sheet2!$H$9</f>
        <v>#N/A</v>
      </c>
      <c r="K334" s="19">
        <f>[326]Sheet2!$D$9</f>
        <v>22.142519497569751</v>
      </c>
      <c r="L334" s="9">
        <f>[326]Sheet2!$D$7</f>
        <v>43923</v>
      </c>
      <c r="N334" s="8">
        <f t="shared" si="423"/>
        <v>9999</v>
      </c>
      <c r="O334" s="8">
        <f t="shared" si="424"/>
        <v>9999</v>
      </c>
      <c r="P334" s="8">
        <f t="shared" si="425"/>
        <v>-75.644000000000005</v>
      </c>
      <c r="Q334" s="8">
        <f t="shared" si="426"/>
        <v>5.8040000000000003</v>
      </c>
      <c r="R334" s="8">
        <f t="shared" si="427"/>
        <v>9999</v>
      </c>
      <c r="S334" s="8">
        <f t="shared" si="428"/>
        <v>9999</v>
      </c>
      <c r="T334" s="8">
        <f t="shared" si="429"/>
        <v>9999</v>
      </c>
      <c r="U334" s="8">
        <f t="shared" si="430"/>
        <v>9999</v>
      </c>
      <c r="V334" s="8">
        <f t="shared" si="416"/>
        <v>9999</v>
      </c>
      <c r="W334" s="8">
        <f t="shared" si="417"/>
        <v>9999</v>
      </c>
    </row>
    <row r="335" spans="1:23" x14ac:dyDescent="0.2">
      <c r="A335" s="7">
        <v>100192</v>
      </c>
      <c r="B335" s="7"/>
      <c r="C335" s="8">
        <f>[327]Sheet2!$J$5</f>
        <v>8.5939999999999994</v>
      </c>
      <c r="D335" s="8">
        <f>[327]Sheet2!$J$4</f>
        <v>-74.563999999999993</v>
      </c>
      <c r="E335" s="7">
        <f>[327]Sheet2!$D$8</f>
        <v>2145.346472197089</v>
      </c>
      <c r="F335" s="7" t="str">
        <f>[327]Sheet2!$G$4</f>
        <v>Cauca</v>
      </c>
      <c r="G335" s="7" t="str">
        <f>[327]Sheet2!$G$5</f>
        <v>Colombia</v>
      </c>
      <c r="H335" s="7" t="str">
        <f>[327]Sheet2!$H$8</f>
        <v>2</v>
      </c>
      <c r="I335" s="7">
        <f>VALUE(H335)</f>
        <v>2</v>
      </c>
      <c r="J335" s="15" t="e">
        <f>[327]Sheet2!$H$9</f>
        <v>#N/A</v>
      </c>
      <c r="K335" s="19">
        <f>[327]Sheet2!$D$9</f>
        <v>22.101465896234224</v>
      </c>
      <c r="L335" s="9">
        <f>[327]Sheet2!$D$7</f>
        <v>43922</v>
      </c>
      <c r="N335" s="8">
        <f t="shared" si="423"/>
        <v>9999</v>
      </c>
      <c r="O335" s="8">
        <f t="shared" si="424"/>
        <v>9999</v>
      </c>
      <c r="P335" s="8">
        <f t="shared" si="425"/>
        <v>-74.563999999999993</v>
      </c>
      <c r="Q335" s="8">
        <f t="shared" si="426"/>
        <v>8.5939999999999994</v>
      </c>
      <c r="R335" s="8">
        <f t="shared" si="427"/>
        <v>9999</v>
      </c>
      <c r="S335" s="8">
        <f t="shared" si="428"/>
        <v>9999</v>
      </c>
      <c r="T335" s="8">
        <f t="shared" si="429"/>
        <v>9999</v>
      </c>
      <c r="U335" s="8">
        <f t="shared" si="430"/>
        <v>9999</v>
      </c>
      <c r="V335" s="8">
        <f t="shared" ref="V335:V346" si="432">IF($I335=0,$D335,9999)</f>
        <v>9999</v>
      </c>
      <c r="W335" s="8">
        <f t="shared" ref="W335:W346" si="433">IF($I335=0,$C335,9999)</f>
        <v>9999</v>
      </c>
    </row>
    <row r="336" spans="1:23" x14ac:dyDescent="0.2">
      <c r="A336" s="7">
        <v>100196</v>
      </c>
      <c r="B336" s="7"/>
      <c r="C336" s="8">
        <f>[328]Sheet2!$J$5</f>
        <v>6.7940000000000005</v>
      </c>
      <c r="D336" s="8">
        <f>[328]Sheet2!$J$4</f>
        <v>-74.204000000000008</v>
      </c>
      <c r="E336" s="7">
        <f>[328]Sheet2!$D$8</f>
        <v>60.160681327326067</v>
      </c>
      <c r="F336" s="7" t="str">
        <f>[328]Sheet2!$G$4</f>
        <v>Magdalena</v>
      </c>
      <c r="G336" s="7" t="str">
        <f>[328]Sheet2!$G$5</f>
        <v>Colombia</v>
      </c>
      <c r="H336" s="7" t="str">
        <f>[328]Sheet2!$H$8</f>
        <v>2</v>
      </c>
      <c r="I336" s="7">
        <f t="shared" ref="I336:I344" si="434">VALUE(H336)</f>
        <v>2</v>
      </c>
      <c r="J336" s="15" t="e">
        <f>[328]Sheet2!$H$9</f>
        <v>#N/A</v>
      </c>
      <c r="K336" s="19">
        <f>[328]Sheet2!$D$9</f>
        <v>4.5148912489445303</v>
      </c>
      <c r="L336" s="9">
        <f>[328]Sheet2!$D$7</f>
        <v>43923</v>
      </c>
      <c r="N336" s="8">
        <f t="shared" si="423"/>
        <v>9999</v>
      </c>
      <c r="O336" s="8">
        <f t="shared" si="424"/>
        <v>9999</v>
      </c>
      <c r="P336" s="8">
        <f t="shared" si="425"/>
        <v>-74.204000000000008</v>
      </c>
      <c r="Q336" s="8">
        <f t="shared" si="426"/>
        <v>6.7940000000000005</v>
      </c>
      <c r="R336" s="8">
        <f t="shared" si="427"/>
        <v>9999</v>
      </c>
      <c r="S336" s="8">
        <f t="shared" si="428"/>
        <v>9999</v>
      </c>
      <c r="T336" s="8">
        <f t="shared" si="429"/>
        <v>9999</v>
      </c>
      <c r="U336" s="8">
        <f t="shared" si="430"/>
        <v>9999</v>
      </c>
      <c r="V336" s="8">
        <f t="shared" si="432"/>
        <v>9999</v>
      </c>
      <c r="W336" s="8">
        <f t="shared" si="433"/>
        <v>9999</v>
      </c>
    </row>
    <row r="337" spans="1:23" x14ac:dyDescent="0.2">
      <c r="A337" s="7">
        <v>100197</v>
      </c>
      <c r="B337" s="7"/>
      <c r="C337" s="8">
        <f>[329]Sheet2!$J$5</f>
        <v>6.7039999999999997</v>
      </c>
      <c r="D337" s="8">
        <f>[329]Sheet2!$J$4</f>
        <v>-74.293999999999997</v>
      </c>
      <c r="E337" s="7">
        <f>[329]Sheet2!$D$8</f>
        <v>132.70082430069186</v>
      </c>
      <c r="F337" s="7" t="str">
        <f>[329]Sheet2!$G$4</f>
        <v>Magdalena</v>
      </c>
      <c r="G337" s="7" t="str">
        <f>[329]Sheet2!$G$5</f>
        <v>Colombia</v>
      </c>
      <c r="H337" s="7" t="str">
        <f>[329]Sheet2!$H$8</f>
        <v>2</v>
      </c>
      <c r="I337" s="7">
        <f t="shared" si="434"/>
        <v>2</v>
      </c>
      <c r="J337" s="15" t="e">
        <f>[329]Sheet2!$H$9</f>
        <v>#N/A</v>
      </c>
      <c r="K337" s="19" t="e">
        <f>[329]Sheet2!$D$9</f>
        <v>#N/A</v>
      </c>
      <c r="L337" s="9">
        <f>[329]Sheet2!$D$7</f>
        <v>43923</v>
      </c>
      <c r="N337" s="8">
        <f t="shared" si="423"/>
        <v>9999</v>
      </c>
      <c r="O337" s="8">
        <f t="shared" si="424"/>
        <v>9999</v>
      </c>
      <c r="P337" s="8">
        <f t="shared" si="425"/>
        <v>-74.293999999999997</v>
      </c>
      <c r="Q337" s="8">
        <f t="shared" si="426"/>
        <v>6.7039999999999997</v>
      </c>
      <c r="R337" s="8">
        <f t="shared" si="427"/>
        <v>9999</v>
      </c>
      <c r="S337" s="8">
        <f t="shared" si="428"/>
        <v>9999</v>
      </c>
      <c r="T337" s="8">
        <f t="shared" si="429"/>
        <v>9999</v>
      </c>
      <c r="U337" s="8">
        <f t="shared" si="430"/>
        <v>9999</v>
      </c>
      <c r="V337" s="8">
        <f t="shared" si="432"/>
        <v>9999</v>
      </c>
      <c r="W337" s="8">
        <f t="shared" si="433"/>
        <v>9999</v>
      </c>
    </row>
    <row r="338" spans="1:23" x14ac:dyDescent="0.2">
      <c r="A338" s="7">
        <v>100198</v>
      </c>
      <c r="B338" s="7"/>
      <c r="C338" s="8">
        <f>[330]Sheet2!$J$5</f>
        <v>6.7039999999999997</v>
      </c>
      <c r="D338" s="8">
        <f>[330]Sheet2!$J$4</f>
        <v>-74.204000000000008</v>
      </c>
      <c r="E338" s="7">
        <f>[330]Sheet2!$D$8</f>
        <v>208.52997285056449</v>
      </c>
      <c r="F338" s="7" t="str">
        <f>[330]Sheet2!$G$4</f>
        <v>Magdalena</v>
      </c>
      <c r="G338" s="7" t="str">
        <f>[330]Sheet2!$G$5</f>
        <v>Colombia</v>
      </c>
      <c r="H338" s="7" t="str">
        <f>[330]Sheet2!$H$8</f>
        <v>2</v>
      </c>
      <c r="I338" s="7">
        <f t="shared" si="434"/>
        <v>2</v>
      </c>
      <c r="J338" s="15" t="e">
        <f>[330]Sheet2!$H$9</f>
        <v>#N/A</v>
      </c>
      <c r="K338" s="19">
        <f>[330]Sheet2!$D$9</f>
        <v>23.641479515044669</v>
      </c>
      <c r="L338" s="9">
        <f>[330]Sheet2!$D$7</f>
        <v>43923</v>
      </c>
      <c r="N338" s="8">
        <f t="shared" si="423"/>
        <v>9999</v>
      </c>
      <c r="O338" s="8">
        <f t="shared" si="424"/>
        <v>9999</v>
      </c>
      <c r="P338" s="8">
        <f t="shared" si="425"/>
        <v>-74.204000000000008</v>
      </c>
      <c r="Q338" s="8">
        <f t="shared" si="426"/>
        <v>6.7039999999999997</v>
      </c>
      <c r="R338" s="8">
        <f t="shared" si="427"/>
        <v>9999</v>
      </c>
      <c r="S338" s="8">
        <f t="shared" si="428"/>
        <v>9999</v>
      </c>
      <c r="T338" s="8">
        <f t="shared" si="429"/>
        <v>9999</v>
      </c>
      <c r="U338" s="8">
        <f t="shared" si="430"/>
        <v>9999</v>
      </c>
      <c r="V338" s="8">
        <f t="shared" si="432"/>
        <v>9999</v>
      </c>
      <c r="W338" s="8">
        <f t="shared" si="433"/>
        <v>9999</v>
      </c>
    </row>
    <row r="339" spans="1:23" x14ac:dyDescent="0.2">
      <c r="A339" s="7">
        <v>100199</v>
      </c>
      <c r="B339" s="7"/>
      <c r="C339" s="8">
        <f>[331]Sheet2!$J$5</f>
        <v>6.6139999999999999</v>
      </c>
      <c r="D339" s="8">
        <f>[331]Sheet2!$J$4</f>
        <v>-74.384</v>
      </c>
      <c r="E339" s="7">
        <f>[331]Sheet2!$D$8</f>
        <v>31.835826496799768</v>
      </c>
      <c r="F339" s="7" t="str">
        <f>[331]Sheet2!$G$4</f>
        <v>Magdalena</v>
      </c>
      <c r="G339" s="7" t="str">
        <f>[331]Sheet2!$G$5</f>
        <v>Colombia</v>
      </c>
      <c r="H339" s="7" t="str">
        <f>[331]Sheet2!$H$8</f>
        <v>2</v>
      </c>
      <c r="I339" s="7">
        <f t="shared" si="434"/>
        <v>2</v>
      </c>
      <c r="J339" s="15" t="e">
        <f>[331]Sheet2!$H$9</f>
        <v>#N/A</v>
      </c>
      <c r="K339" s="19">
        <f>[331]Sheet2!$D$9</f>
        <v>2.4203466220953489</v>
      </c>
      <c r="L339" s="9">
        <f>[331]Sheet2!$D$7</f>
        <v>43923</v>
      </c>
      <c r="N339" s="8">
        <f t="shared" si="423"/>
        <v>9999</v>
      </c>
      <c r="O339" s="8">
        <f t="shared" si="424"/>
        <v>9999</v>
      </c>
      <c r="P339" s="8">
        <f t="shared" si="425"/>
        <v>-74.384</v>
      </c>
      <c r="Q339" s="8">
        <f t="shared" si="426"/>
        <v>6.6139999999999999</v>
      </c>
      <c r="R339" s="8">
        <f t="shared" si="427"/>
        <v>9999</v>
      </c>
      <c r="S339" s="8">
        <f t="shared" si="428"/>
        <v>9999</v>
      </c>
      <c r="T339" s="8">
        <f t="shared" si="429"/>
        <v>9999</v>
      </c>
      <c r="U339" s="8">
        <f t="shared" si="430"/>
        <v>9999</v>
      </c>
      <c r="V339" s="8">
        <f t="shared" si="432"/>
        <v>9999</v>
      </c>
      <c r="W339" s="8">
        <f t="shared" si="433"/>
        <v>9999</v>
      </c>
    </row>
    <row r="340" spans="1:23" x14ac:dyDescent="0.2">
      <c r="A340" s="7">
        <v>100200</v>
      </c>
      <c r="B340" s="7"/>
      <c r="C340" s="8">
        <f>[332]Sheet2!$J$5</f>
        <v>8.9540000000000006</v>
      </c>
      <c r="D340" s="8">
        <f>[332]Sheet2!$J$4</f>
        <v>-73.843999999999994</v>
      </c>
      <c r="E340" s="7">
        <f>[332]Sheet2!$D$8</f>
        <v>773.27857400692756</v>
      </c>
      <c r="F340" s="7" t="str">
        <f>[332]Sheet2!$G$4</f>
        <v>Magdalena</v>
      </c>
      <c r="G340" s="7" t="str">
        <f>[332]Sheet2!$G$5</f>
        <v>Colombia</v>
      </c>
      <c r="H340" s="7" t="str">
        <f>[332]Sheet2!$H$8</f>
        <v>2</v>
      </c>
      <c r="I340" s="7">
        <f t="shared" si="434"/>
        <v>2</v>
      </c>
      <c r="J340" s="15" t="e">
        <f>[332]Sheet2!$H$9</f>
        <v>#N/A</v>
      </c>
      <c r="K340" s="19">
        <f>[332]Sheet2!$D$9</f>
        <v>96.522309968275238</v>
      </c>
      <c r="L340" s="9">
        <f>[332]Sheet2!$D$7</f>
        <v>43922</v>
      </c>
      <c r="N340" s="8">
        <f t="shared" si="423"/>
        <v>9999</v>
      </c>
      <c r="O340" s="8">
        <f t="shared" si="424"/>
        <v>9999</v>
      </c>
      <c r="P340" s="8">
        <f t="shared" si="425"/>
        <v>-73.843999999999994</v>
      </c>
      <c r="Q340" s="8">
        <f t="shared" si="426"/>
        <v>8.9540000000000006</v>
      </c>
      <c r="R340" s="8">
        <f t="shared" si="427"/>
        <v>9999</v>
      </c>
      <c r="S340" s="8">
        <f t="shared" si="428"/>
        <v>9999</v>
      </c>
      <c r="T340" s="8">
        <f t="shared" si="429"/>
        <v>9999</v>
      </c>
      <c r="U340" s="8">
        <f t="shared" si="430"/>
        <v>9999</v>
      </c>
      <c r="V340" s="8">
        <f t="shared" si="432"/>
        <v>9999</v>
      </c>
      <c r="W340" s="8">
        <f t="shared" si="433"/>
        <v>9999</v>
      </c>
    </row>
    <row r="341" spans="1:23" x14ac:dyDescent="0.2">
      <c r="A341" s="7">
        <v>100201</v>
      </c>
      <c r="B341" s="7"/>
      <c r="C341" s="8">
        <f>[333]Sheet2!$J$5</f>
        <v>8.9540000000000006</v>
      </c>
      <c r="D341" s="8">
        <f>[333]Sheet2!$J$4</f>
        <v>-73.754000000000005</v>
      </c>
      <c r="E341" s="7">
        <f>[333]Sheet2!$D$8</f>
        <v>443.42460063082342</v>
      </c>
      <c r="F341" s="7" t="str">
        <f>[333]Sheet2!$G$4</f>
        <v>Magdalena</v>
      </c>
      <c r="G341" s="7" t="str">
        <f>[333]Sheet2!$G$5</f>
        <v>Colombia</v>
      </c>
      <c r="H341" s="7" t="str">
        <f>[333]Sheet2!$H$8</f>
        <v>2</v>
      </c>
      <c r="I341" s="7">
        <f t="shared" si="434"/>
        <v>2</v>
      </c>
      <c r="J341" s="15" t="e">
        <f>[333]Sheet2!$H$9</f>
        <v>#N/A</v>
      </c>
      <c r="K341" s="19">
        <f>[333]Sheet2!$D$9</f>
        <v>58.705662140240484</v>
      </c>
      <c r="L341" s="9">
        <f>[333]Sheet2!$D$7</f>
        <v>43922</v>
      </c>
      <c r="N341" s="8">
        <f t="shared" si="423"/>
        <v>9999</v>
      </c>
      <c r="O341" s="8">
        <f t="shared" si="424"/>
        <v>9999</v>
      </c>
      <c r="P341" s="8">
        <f t="shared" si="425"/>
        <v>-73.754000000000005</v>
      </c>
      <c r="Q341" s="8">
        <f t="shared" si="426"/>
        <v>8.9540000000000006</v>
      </c>
      <c r="R341" s="8">
        <f t="shared" si="427"/>
        <v>9999</v>
      </c>
      <c r="S341" s="8">
        <f t="shared" si="428"/>
        <v>9999</v>
      </c>
      <c r="T341" s="8">
        <f t="shared" si="429"/>
        <v>9999</v>
      </c>
      <c r="U341" s="8">
        <f t="shared" si="430"/>
        <v>9999</v>
      </c>
      <c r="V341" s="8">
        <f t="shared" si="432"/>
        <v>9999</v>
      </c>
      <c r="W341" s="8">
        <f t="shared" si="433"/>
        <v>9999</v>
      </c>
    </row>
    <row r="342" spans="1:23" x14ac:dyDescent="0.2">
      <c r="A342" s="7">
        <v>100202</v>
      </c>
      <c r="B342" s="7"/>
      <c r="C342" s="8">
        <f>[334]Sheet2!$J$5</f>
        <v>9.0440000000000005</v>
      </c>
      <c r="D342" s="8">
        <f>[334]Sheet2!$J$4</f>
        <v>-73.933999999999997</v>
      </c>
      <c r="E342" s="7">
        <f>[334]Sheet2!$D$8</f>
        <v>751.63970689223652</v>
      </c>
      <c r="F342" s="7" t="str">
        <f>[334]Sheet2!$G$4</f>
        <v>Magdalena</v>
      </c>
      <c r="G342" s="7" t="str">
        <f>[334]Sheet2!$G$5</f>
        <v>Colombia</v>
      </c>
      <c r="H342" s="7" t="str">
        <f>[334]Sheet2!$H$8</f>
        <v>1</v>
      </c>
      <c r="I342" s="7">
        <f t="shared" si="434"/>
        <v>1</v>
      </c>
      <c r="J342" s="15" t="e">
        <f>[334]Sheet2!$H$9</f>
        <v>#N/A</v>
      </c>
      <c r="K342" s="19">
        <f>[334]Sheet2!$D$9</f>
        <v>91.777090895033766</v>
      </c>
      <c r="L342" s="9">
        <f>[334]Sheet2!$D$7</f>
        <v>43922</v>
      </c>
      <c r="N342" s="8">
        <f t="shared" si="423"/>
        <v>-73.933999999999997</v>
      </c>
      <c r="O342" s="8">
        <f t="shared" si="424"/>
        <v>9.0440000000000005</v>
      </c>
      <c r="P342" s="8">
        <f t="shared" si="425"/>
        <v>9999</v>
      </c>
      <c r="Q342" s="8">
        <f t="shared" si="426"/>
        <v>9999</v>
      </c>
      <c r="R342" s="8">
        <f t="shared" si="427"/>
        <v>9999</v>
      </c>
      <c r="S342" s="8">
        <f t="shared" si="428"/>
        <v>9999</v>
      </c>
      <c r="T342" s="8">
        <f t="shared" si="429"/>
        <v>9999</v>
      </c>
      <c r="U342" s="8">
        <f t="shared" si="430"/>
        <v>9999</v>
      </c>
      <c r="V342" s="8">
        <f t="shared" si="432"/>
        <v>9999</v>
      </c>
      <c r="W342" s="8">
        <f t="shared" si="433"/>
        <v>9999</v>
      </c>
    </row>
    <row r="343" spans="1:23" x14ac:dyDescent="0.2">
      <c r="A343" s="7">
        <v>100203</v>
      </c>
      <c r="B343" s="7"/>
      <c r="C343" s="8">
        <f>[335]Sheet2!$J$5</f>
        <v>9.0440000000000005</v>
      </c>
      <c r="D343" s="8">
        <f>[335]Sheet2!$J$4</f>
        <v>-73.843999999999994</v>
      </c>
      <c r="E343" s="7">
        <f>[335]Sheet2!$D$8</f>
        <v>972.35490872777677</v>
      </c>
      <c r="F343" s="7" t="str">
        <f>[335]Sheet2!$G$4</f>
        <v>Magdalena</v>
      </c>
      <c r="G343" s="7" t="str">
        <f>[335]Sheet2!$G$5</f>
        <v>Colombia</v>
      </c>
      <c r="H343" s="7" t="str">
        <f>[335]Sheet2!$H$8</f>
        <v>2</v>
      </c>
      <c r="I343" s="7">
        <f t="shared" si="434"/>
        <v>2</v>
      </c>
      <c r="J343" s="15" t="e">
        <f>[335]Sheet2!$H$9</f>
        <v>#N/A</v>
      </c>
      <c r="K343" s="19">
        <f>[335]Sheet2!$D$9</f>
        <v>121.71420850282084</v>
      </c>
      <c r="L343" s="9">
        <f>[335]Sheet2!$D$7</f>
        <v>43922</v>
      </c>
      <c r="N343" s="8">
        <f t="shared" si="423"/>
        <v>9999</v>
      </c>
      <c r="O343" s="8">
        <f t="shared" si="424"/>
        <v>9999</v>
      </c>
      <c r="P343" s="8">
        <f t="shared" si="425"/>
        <v>-73.843999999999994</v>
      </c>
      <c r="Q343" s="8">
        <f t="shared" si="426"/>
        <v>9.0440000000000005</v>
      </c>
      <c r="R343" s="8">
        <f t="shared" si="427"/>
        <v>9999</v>
      </c>
      <c r="S343" s="8">
        <f t="shared" si="428"/>
        <v>9999</v>
      </c>
      <c r="T343" s="8">
        <f t="shared" si="429"/>
        <v>9999</v>
      </c>
      <c r="U343" s="8">
        <f t="shared" si="430"/>
        <v>9999</v>
      </c>
      <c r="V343" s="8">
        <f t="shared" si="432"/>
        <v>9999</v>
      </c>
      <c r="W343" s="8">
        <f t="shared" si="433"/>
        <v>9999</v>
      </c>
    </row>
    <row r="344" spans="1:23" x14ac:dyDescent="0.2">
      <c r="A344" s="7">
        <v>100204</v>
      </c>
      <c r="B344" s="7"/>
      <c r="C344" s="8">
        <f>[336]Sheet2!$J$5</f>
        <v>6.7940000000000005</v>
      </c>
      <c r="D344" s="8">
        <f>[336]Sheet2!$J$4</f>
        <v>-74.293999999999997</v>
      </c>
      <c r="E344" s="7">
        <f>[336]Sheet2!$D$8</f>
        <v>0.95798146157557862</v>
      </c>
      <c r="F344" s="7" t="str">
        <f>[336]Sheet2!$G$4</f>
        <v>Near Cienega Barbacoas</v>
      </c>
      <c r="G344" s="7" t="str">
        <f>[336]Sheet2!$G$5</f>
        <v>Colombia</v>
      </c>
      <c r="H344" s="7">
        <f>[336]Sheet2!$H$9</f>
        <v>0</v>
      </c>
      <c r="I344" s="7">
        <f t="shared" si="434"/>
        <v>0</v>
      </c>
      <c r="J344" s="15">
        <f>[336]Sheet2!$H$9</f>
        <v>0</v>
      </c>
      <c r="K344" s="19">
        <f>[336]Sheet2!$D$9</f>
        <v>0</v>
      </c>
      <c r="L344" s="9">
        <f>[336]Sheet2!$D$7</f>
        <v>43923</v>
      </c>
      <c r="N344" s="8">
        <f t="shared" si="423"/>
        <v>9999</v>
      </c>
      <c r="O344" s="8">
        <f t="shared" si="424"/>
        <v>9999</v>
      </c>
      <c r="P344" s="8">
        <f t="shared" si="425"/>
        <v>9999</v>
      </c>
      <c r="Q344" s="8">
        <f t="shared" si="426"/>
        <v>9999</v>
      </c>
      <c r="R344" s="8">
        <f t="shared" si="427"/>
        <v>9999</v>
      </c>
      <c r="S344" s="8">
        <f t="shared" si="428"/>
        <v>9999</v>
      </c>
      <c r="T344" s="8">
        <f t="shared" si="429"/>
        <v>9999</v>
      </c>
      <c r="U344" s="8">
        <f t="shared" si="430"/>
        <v>9999</v>
      </c>
      <c r="V344" s="8">
        <f t="shared" si="432"/>
        <v>-74.293999999999997</v>
      </c>
      <c r="W344" s="8">
        <f t="shared" si="433"/>
        <v>6.7940000000000005</v>
      </c>
    </row>
    <row r="345" spans="1:23" x14ac:dyDescent="0.2">
      <c r="A345" s="7">
        <v>100205</v>
      </c>
      <c r="B345" s="7"/>
      <c r="C345" s="8">
        <f>[337]Sheet2!$J$5</f>
        <v>9.5839999999999996</v>
      </c>
      <c r="D345" s="8">
        <f>[337]Sheet2!$J$4</f>
        <v>31.634999999999998</v>
      </c>
      <c r="E345" s="7">
        <f>[337]Sheet2!$D$8</f>
        <v>380.24273660720939</v>
      </c>
      <c r="F345" s="7" t="str">
        <f>[337]Sheet2!$G$4</f>
        <v>White Nile</v>
      </c>
      <c r="G345" s="7" t="str">
        <f>[337]Sheet2!$G$5</f>
        <v>Sudan</v>
      </c>
      <c r="H345" s="7" t="str">
        <f>[337]Sheet2!$H$8</f>
        <v>2</v>
      </c>
      <c r="I345" s="7">
        <f>VALUE(H345)</f>
        <v>2</v>
      </c>
      <c r="J345" s="15" t="e">
        <f>[337]Sheet2!$H$9</f>
        <v>#N/A</v>
      </c>
      <c r="K345" s="19">
        <f>[337]Sheet2!$D$9</f>
        <v>22.140203625973513</v>
      </c>
      <c r="L345" s="9">
        <f>[337]Sheet2!$D$7</f>
        <v>43921</v>
      </c>
      <c r="N345" s="8">
        <f t="shared" si="423"/>
        <v>9999</v>
      </c>
      <c r="O345" s="8">
        <f t="shared" si="424"/>
        <v>9999</v>
      </c>
      <c r="P345" s="8">
        <f t="shared" si="425"/>
        <v>31.634999999999998</v>
      </c>
      <c r="Q345" s="8">
        <f t="shared" si="426"/>
        <v>9.5839999999999996</v>
      </c>
      <c r="R345" s="8">
        <f t="shared" si="427"/>
        <v>9999</v>
      </c>
      <c r="S345" s="8">
        <f t="shared" si="428"/>
        <v>9999</v>
      </c>
      <c r="T345" s="8">
        <f t="shared" si="429"/>
        <v>9999</v>
      </c>
      <c r="U345" s="8">
        <f t="shared" si="430"/>
        <v>9999</v>
      </c>
      <c r="V345" s="8">
        <f t="shared" si="432"/>
        <v>9999</v>
      </c>
      <c r="W345" s="8">
        <f t="shared" si="433"/>
        <v>9999</v>
      </c>
    </row>
    <row r="346" spans="1:23" x14ac:dyDescent="0.2">
      <c r="A346" s="7">
        <v>100214</v>
      </c>
      <c r="B346" s="7"/>
      <c r="C346" s="8">
        <f>[338]Sheet2!$J$5</f>
        <v>38.293999999999997</v>
      </c>
      <c r="D346" s="8">
        <f>[338]Sheet2!$J$4</f>
        <v>-87.884</v>
      </c>
      <c r="E346" s="7">
        <f>[338]Sheet2!$D$8</f>
        <v>2835.5116567849982</v>
      </c>
      <c r="F346" s="7" t="str">
        <f>[338]Sheet2!$G$4</f>
        <v>Wabash River</v>
      </c>
      <c r="G346" s="7" t="str">
        <f>[338]Sheet2!$G$5</f>
        <v>USA</v>
      </c>
      <c r="H346" s="7" t="e">
        <f>[338]Sheet2!$H$8</f>
        <v>#N/A</v>
      </c>
      <c r="I346" s="7" t="e">
        <f>VALUE(H346)</f>
        <v>#N/A</v>
      </c>
      <c r="J346" s="15" t="e">
        <f>[338]Sheet2!$H$9</f>
        <v>#N/A</v>
      </c>
      <c r="K346" s="19" t="e">
        <f>[338]Sheet2!$D$9</f>
        <v>#N/A</v>
      </c>
      <c r="L346" s="9">
        <f>[338]Sheet2!$D$7</f>
        <v>43922</v>
      </c>
      <c r="N346" s="8" t="e">
        <f t="shared" si="423"/>
        <v>#N/A</v>
      </c>
      <c r="O346" s="8" t="e">
        <f t="shared" si="424"/>
        <v>#N/A</v>
      </c>
      <c r="P346" s="8" t="e">
        <f t="shared" si="425"/>
        <v>#N/A</v>
      </c>
      <c r="Q346" s="8" t="e">
        <f t="shared" si="426"/>
        <v>#N/A</v>
      </c>
      <c r="R346" s="8" t="e">
        <f t="shared" si="427"/>
        <v>#N/A</v>
      </c>
      <c r="S346" s="8" t="e">
        <f t="shared" si="428"/>
        <v>#N/A</v>
      </c>
      <c r="T346" s="8" t="e">
        <f t="shared" si="429"/>
        <v>#N/A</v>
      </c>
      <c r="U346" s="8" t="e">
        <f t="shared" si="430"/>
        <v>#N/A</v>
      </c>
      <c r="V346" s="8" t="e">
        <f t="shared" si="432"/>
        <v>#N/A</v>
      </c>
      <c r="W346" s="8" t="e">
        <f t="shared" si="433"/>
        <v>#N/A</v>
      </c>
    </row>
  </sheetData>
  <mergeCells count="3">
    <mergeCell ref="A3:B3"/>
    <mergeCell ref="A5:D5"/>
    <mergeCell ref="A7:F7"/>
  </mergeCells>
  <phoneticPr fontId="0" type="noConversion"/>
  <hyperlinks>
    <hyperlink ref="I5" r:id="rId1"/>
  </hyperlinks>
  <pageMargins left="0.75" right="0.75" top="1" bottom="1" header="0.5" footer="0.5"/>
  <pageSetup orientation="portrait" horizontalDpi="200" verticalDpi="200" r:id="rId2"/>
  <headerFooter alignWithMargins="0"/>
  <webPublishItems count="1">
    <webPublishItem id="26158" divId="Summary5_16907" sourceType="range" sourceRef="A5:M346" destinationFile="C:\floods\SiteDisplays\Summary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GDACSpts</vt:lpstr>
      <vt:lpstr>Database</vt:lpstr>
    </vt:vector>
  </TitlesOfParts>
  <Company>Dartmouth College</Company>
  <LinksUpToDate>false</LinksUpToDate>
  <SharedDoc>false</SharedDoc>
  <HyperlinkBase>http:/www.dartmouth.edu/~floods/AMSR-E Gaging Reaches/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Elaine_Anderson</dc:creator>
  <cp:lastModifiedBy>Bob Brakenridge</cp:lastModifiedBy>
  <dcterms:created xsi:type="dcterms:W3CDTF">2007-01-11T23:15:12Z</dcterms:created>
  <dcterms:modified xsi:type="dcterms:W3CDTF">2020-04-04T07:03:49Z</dcterms:modified>
</cp:coreProperties>
</file>